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Š V. Ž. - tajnica\Desktop\TAJA\financijski planovi i periodični\plan i obračuni 2023\"/>
    </mc:Choice>
  </mc:AlternateContent>
  <bookViews>
    <workbookView xWindow="0" yWindow="0" windowWidth="21600" windowHeight="9330" tabRatio="684" activeTab="4"/>
  </bookViews>
  <sheets>
    <sheet name="SAŽETAK 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9" i="7" l="1"/>
  <c r="G328" i="7"/>
  <c r="G327" i="7"/>
  <c r="G316" i="7"/>
  <c r="G311" i="7"/>
  <c r="G294" i="7"/>
  <c r="G292" i="7"/>
  <c r="G289" i="7"/>
  <c r="G287" i="7"/>
  <c r="G286" i="7"/>
  <c r="G285" i="7"/>
  <c r="G283" i="7"/>
  <c r="G282" i="7"/>
  <c r="G281" i="7"/>
  <c r="G276" i="7"/>
  <c r="G277" i="7"/>
  <c r="G278" i="7"/>
  <c r="G275" i="7"/>
  <c r="G266" i="7"/>
  <c r="G250" i="7"/>
  <c r="G248" i="7"/>
  <c r="G242" i="7"/>
  <c r="G231" i="7"/>
  <c r="G169" i="7"/>
  <c r="G170" i="7"/>
  <c r="G171" i="7"/>
  <c r="G173" i="7"/>
  <c r="G174" i="7"/>
  <c r="G175" i="7"/>
  <c r="G176" i="7"/>
  <c r="G178" i="7"/>
  <c r="G179" i="7"/>
  <c r="G180" i="7"/>
  <c r="G182" i="7"/>
  <c r="G183" i="7"/>
  <c r="G184" i="7"/>
  <c r="G185" i="7"/>
  <c r="G186" i="7"/>
  <c r="G187" i="7"/>
  <c r="G189" i="7"/>
  <c r="G191" i="7"/>
  <c r="G192" i="7"/>
  <c r="G195" i="7"/>
  <c r="G199" i="7"/>
  <c r="G202" i="7"/>
  <c r="G203" i="7"/>
  <c r="G204" i="7"/>
  <c r="G205" i="7"/>
  <c r="G223" i="7"/>
  <c r="G158" i="7"/>
  <c r="G97" i="7"/>
  <c r="G98" i="7"/>
  <c r="G99" i="7"/>
  <c r="G103" i="7"/>
  <c r="G105" i="7"/>
  <c r="G108" i="7"/>
  <c r="G111" i="7"/>
  <c r="G112" i="7"/>
  <c r="G120" i="7"/>
  <c r="G123" i="7"/>
  <c r="G130" i="7"/>
  <c r="G139" i="7"/>
  <c r="G140" i="7"/>
  <c r="G148" i="7"/>
  <c r="G149" i="7"/>
  <c r="G151" i="7"/>
  <c r="G86" i="7"/>
  <c r="G41" i="7"/>
  <c r="G43" i="7"/>
  <c r="G44" i="7"/>
  <c r="G49" i="7"/>
  <c r="G58" i="7"/>
  <c r="G78" i="7"/>
  <c r="G79" i="7"/>
  <c r="G35" i="7"/>
  <c r="G34" i="7"/>
  <c r="G11" i="7"/>
  <c r="G12" i="7"/>
  <c r="G13" i="7"/>
  <c r="G18" i="7"/>
  <c r="G20" i="7"/>
  <c r="G27" i="7"/>
  <c r="F192" i="7"/>
  <c r="F79" i="7"/>
  <c r="F76" i="7"/>
  <c r="E76" i="7"/>
  <c r="F69" i="7"/>
  <c r="F68" i="7" s="1"/>
  <c r="F67" i="7" s="1"/>
  <c r="E69" i="7"/>
  <c r="E68" i="7" s="1"/>
  <c r="E67" i="7" s="1"/>
  <c r="G117" i="3"/>
  <c r="F59" i="7"/>
  <c r="E59" i="7"/>
  <c r="H71" i="3" l="1"/>
  <c r="I71" i="3"/>
  <c r="H74" i="3"/>
  <c r="I74" i="3"/>
  <c r="H75" i="3"/>
  <c r="I75" i="3"/>
  <c r="H80" i="3"/>
  <c r="I80" i="3"/>
  <c r="H83" i="3"/>
  <c r="I83" i="3"/>
  <c r="I84" i="3"/>
  <c r="I85" i="3"/>
  <c r="I86" i="3"/>
  <c r="I88" i="3"/>
  <c r="I90" i="3"/>
  <c r="I91" i="3"/>
  <c r="I94" i="3"/>
  <c r="I96" i="3"/>
  <c r="I97" i="3"/>
  <c r="I98" i="3"/>
  <c r="I99" i="3"/>
  <c r="I101" i="3"/>
  <c r="I103" i="3"/>
  <c r="I104" i="3"/>
  <c r="I111" i="3"/>
  <c r="I112" i="3"/>
  <c r="I114" i="3"/>
  <c r="I116" i="3"/>
  <c r="I117" i="3"/>
  <c r="I118" i="3"/>
  <c r="H119" i="3"/>
  <c r="I119" i="3"/>
  <c r="H120" i="3"/>
  <c r="I120" i="3"/>
  <c r="I123" i="3"/>
  <c r="H127" i="3"/>
  <c r="I127" i="3"/>
  <c r="I130" i="3"/>
  <c r="H134" i="3"/>
  <c r="I134" i="3"/>
  <c r="H156" i="3"/>
  <c r="I156" i="3"/>
  <c r="I157" i="3"/>
  <c r="E14" i="5"/>
  <c r="F14" i="5"/>
  <c r="E13" i="5"/>
  <c r="F13" i="5"/>
  <c r="E118" i="3"/>
  <c r="H118" i="3" s="1"/>
  <c r="E116" i="3"/>
  <c r="H116" i="3" s="1"/>
  <c r="E117" i="3"/>
  <c r="H117" i="3" s="1"/>
  <c r="H130" i="3"/>
  <c r="E123" i="3"/>
  <c r="H123" i="3" s="1"/>
  <c r="E151" i="3"/>
  <c r="H151" i="3" s="1"/>
  <c r="E114" i="3"/>
  <c r="H114" i="3" s="1"/>
  <c r="E113" i="3"/>
  <c r="H113" i="3" s="1"/>
  <c r="E112" i="3"/>
  <c r="H112" i="3" s="1"/>
  <c r="E111" i="3"/>
  <c r="H111" i="3" s="1"/>
  <c r="E104" i="3"/>
  <c r="H104" i="3" s="1"/>
  <c r="E103" i="3"/>
  <c r="H103" i="3" s="1"/>
  <c r="E101" i="3"/>
  <c r="H101" i="3" s="1"/>
  <c r="E99" i="3"/>
  <c r="H99" i="3" s="1"/>
  <c r="E98" i="3"/>
  <c r="H98" i="3" s="1"/>
  <c r="E97" i="3"/>
  <c r="H97" i="3" s="1"/>
  <c r="E96" i="3"/>
  <c r="H96" i="3" s="1"/>
  <c r="E94" i="3"/>
  <c r="H94" i="3" s="1"/>
  <c r="E92" i="3"/>
  <c r="H92" i="3" s="1"/>
  <c r="E91" i="3"/>
  <c r="H91" i="3" s="1"/>
  <c r="E90" i="3"/>
  <c r="H90" i="3" s="1"/>
  <c r="E89" i="3"/>
  <c r="H89" i="3" s="1"/>
  <c r="E88" i="3"/>
  <c r="H88" i="3" s="1"/>
  <c r="E86" i="3"/>
  <c r="H86" i="3" s="1"/>
  <c r="E85" i="3"/>
  <c r="H85" i="3" s="1"/>
  <c r="E84" i="3"/>
  <c r="H84" i="3" s="1"/>
  <c r="E67" i="3" l="1"/>
  <c r="H67" i="3" s="1"/>
  <c r="G37" i="3"/>
  <c r="I37" i="3" s="1"/>
  <c r="I11" i="3"/>
  <c r="I14" i="3"/>
  <c r="I15" i="3"/>
  <c r="I17" i="3"/>
  <c r="I49" i="3"/>
  <c r="E49" i="3"/>
  <c r="H49" i="3" s="1"/>
  <c r="E37" i="3"/>
  <c r="H37" i="3" s="1"/>
  <c r="E27" i="3"/>
  <c r="H27" i="3" s="1"/>
  <c r="E17" i="3"/>
  <c r="H17" i="3" s="1"/>
  <c r="E14" i="3"/>
  <c r="H14" i="3" s="1"/>
  <c r="E11" i="3"/>
  <c r="H11" i="3" s="1"/>
  <c r="F11" i="1"/>
  <c r="F10" i="1"/>
  <c r="F7" i="1"/>
  <c r="E150" i="3" l="1"/>
  <c r="E143" i="3"/>
  <c r="E142" i="3" s="1"/>
  <c r="E141" i="3" s="1"/>
  <c r="E140" i="3"/>
  <c r="E132" i="3"/>
  <c r="E131" i="3" s="1"/>
  <c r="E122" i="3"/>
  <c r="E121" i="3" s="1"/>
  <c r="E107" i="3"/>
  <c r="E105" i="3"/>
  <c r="E95" i="3"/>
  <c r="E87" i="3"/>
  <c r="E82" i="3"/>
  <c r="E72" i="3"/>
  <c r="E70" i="3"/>
  <c r="E66" i="3"/>
  <c r="E53" i="3"/>
  <c r="E48" i="3"/>
  <c r="E47" i="3" s="1"/>
  <c r="E42" i="3"/>
  <c r="E38" i="3"/>
  <c r="E35" i="3"/>
  <c r="E32" i="3"/>
  <c r="E26" i="3"/>
  <c r="E25" i="3" s="1"/>
  <c r="E22" i="3"/>
  <c r="E16" i="3"/>
  <c r="E13" i="3"/>
  <c r="E10" i="3"/>
  <c r="E81" i="3" l="1"/>
  <c r="E65" i="3"/>
  <c r="E24" i="3"/>
  <c r="E9" i="3"/>
  <c r="E34" i="3"/>
  <c r="E64" i="3" l="1"/>
  <c r="E158" i="3" s="1"/>
  <c r="E57" i="3"/>
  <c r="E8" i="3"/>
  <c r="F324" i="7" l="1"/>
  <c r="E324" i="7"/>
  <c r="F89" i="3" l="1"/>
  <c r="I89" i="3" s="1"/>
  <c r="G6" i="1" l="1"/>
  <c r="F6" i="1"/>
  <c r="F27" i="3"/>
  <c r="I27" i="3" s="1"/>
  <c r="F67" i="3"/>
  <c r="I67" i="3" s="1"/>
  <c r="G9" i="1" l="1"/>
  <c r="G12" i="1" s="1"/>
  <c r="H9" i="1"/>
  <c r="F9" i="1"/>
  <c r="F12" i="1" s="1"/>
  <c r="F53" i="3"/>
  <c r="G53" i="3"/>
  <c r="F22" i="3"/>
  <c r="G22" i="3"/>
  <c r="F42" i="3"/>
  <c r="G42" i="3"/>
  <c r="F32" i="3"/>
  <c r="G32" i="3"/>
  <c r="G10" i="3"/>
  <c r="F10" i="3"/>
  <c r="I10" i="3" l="1"/>
  <c r="H10" i="3"/>
  <c r="H22" i="3"/>
  <c r="I22" i="3"/>
  <c r="I53" i="3"/>
  <c r="H53" i="3"/>
  <c r="I42" i="3"/>
  <c r="H42" i="3"/>
  <c r="I32" i="3"/>
  <c r="H32" i="3"/>
  <c r="F151" i="3"/>
  <c r="I151" i="3" s="1"/>
  <c r="F140" i="3"/>
  <c r="G140" i="3"/>
  <c r="I140" i="3" l="1"/>
  <c r="H140" i="3"/>
  <c r="F92" i="3"/>
  <c r="I92" i="3" s="1"/>
  <c r="F188" i="7" l="1"/>
  <c r="F190" i="7"/>
  <c r="F336" i="7" l="1"/>
  <c r="F328" i="7" s="1"/>
  <c r="E336" i="7"/>
  <c r="F329" i="7"/>
  <c r="E329" i="7"/>
  <c r="F320" i="7"/>
  <c r="F319" i="7" s="1"/>
  <c r="E320" i="7"/>
  <c r="E319" i="7" s="1"/>
  <c r="F311" i="7"/>
  <c r="E311" i="7"/>
  <c r="F300" i="7"/>
  <c r="E300" i="7"/>
  <c r="F292" i="7"/>
  <c r="E292" i="7"/>
  <c r="F287" i="7"/>
  <c r="E287" i="7"/>
  <c r="F283" i="7"/>
  <c r="E283" i="7"/>
  <c r="F281" i="7"/>
  <c r="E281" i="7"/>
  <c r="F277" i="7"/>
  <c r="E277" i="7"/>
  <c r="F256" i="7"/>
  <c r="E256" i="7"/>
  <c r="F248" i="7"/>
  <c r="E248" i="7"/>
  <c r="F243" i="7"/>
  <c r="E243" i="7"/>
  <c r="F239" i="7"/>
  <c r="E239" i="7"/>
  <c r="F237" i="7"/>
  <c r="E237" i="7"/>
  <c r="F233" i="7"/>
  <c r="E233" i="7"/>
  <c r="F220" i="7"/>
  <c r="E220" i="7"/>
  <c r="F213" i="7"/>
  <c r="E213" i="7"/>
  <c r="F207" i="7"/>
  <c r="E207" i="7"/>
  <c r="F204" i="7"/>
  <c r="F203" i="7" s="1"/>
  <c r="E204" i="7"/>
  <c r="E203" i="7" s="1"/>
  <c r="F195" i="7"/>
  <c r="E195" i="7"/>
  <c r="F183" i="7"/>
  <c r="E183" i="7"/>
  <c r="F175" i="7"/>
  <c r="E175" i="7"/>
  <c r="F170" i="7"/>
  <c r="E170" i="7"/>
  <c r="F166" i="7"/>
  <c r="E166" i="7"/>
  <c r="F164" i="7"/>
  <c r="E164" i="7"/>
  <c r="F160" i="7"/>
  <c r="E160" i="7"/>
  <c r="F94" i="7"/>
  <c r="E94" i="7"/>
  <c r="E169" i="7" l="1"/>
  <c r="E242" i="7"/>
  <c r="F242" i="7"/>
  <c r="E276" i="7"/>
  <c r="E323" i="7"/>
  <c r="E328" i="7"/>
  <c r="E327" i="7"/>
  <c r="E286" i="7"/>
  <c r="F327" i="7"/>
  <c r="F159" i="7"/>
  <c r="F212" i="7"/>
  <c r="F211" i="7" s="1"/>
  <c r="E232" i="7"/>
  <c r="E231" i="7" s="1"/>
  <c r="E266" i="7" s="1"/>
  <c r="F276" i="7"/>
  <c r="F286" i="7"/>
  <c r="E159" i="7"/>
  <c r="F169" i="7"/>
  <c r="E212" i="7"/>
  <c r="E211" i="7" s="1"/>
  <c r="F232" i="7"/>
  <c r="E20" i="7"/>
  <c r="E13" i="7"/>
  <c r="F323" i="7" l="1"/>
  <c r="F339" i="7"/>
  <c r="F231" i="7"/>
  <c r="F266" i="7" s="1"/>
  <c r="E275" i="7"/>
  <c r="E339" i="7" s="1"/>
  <c r="E158" i="7"/>
  <c r="E223" i="7" s="1"/>
  <c r="F158" i="7"/>
  <c r="F223" i="7" s="1"/>
  <c r="F275" i="7"/>
  <c r="F22" i="7"/>
  <c r="F21" i="7" s="1"/>
  <c r="F18" i="7"/>
  <c r="F16" i="7"/>
  <c r="F12" i="7"/>
  <c r="E22" i="7"/>
  <c r="E21" i="7" s="1"/>
  <c r="E18" i="7"/>
  <c r="E16" i="7"/>
  <c r="E12" i="7"/>
  <c r="G48" i="3"/>
  <c r="F48" i="3"/>
  <c r="F47" i="3" s="1"/>
  <c r="G16" i="3"/>
  <c r="G13" i="3"/>
  <c r="F16" i="3"/>
  <c r="F13" i="3"/>
  <c r="F24" i="3" s="1"/>
  <c r="G26" i="3"/>
  <c r="F26" i="3"/>
  <c r="F25" i="3" s="1"/>
  <c r="G38" i="3"/>
  <c r="G35" i="3"/>
  <c r="F38" i="3"/>
  <c r="F35" i="3"/>
  <c r="H48" i="3" l="1"/>
  <c r="I48" i="3"/>
  <c r="H35" i="3"/>
  <c r="I35" i="3"/>
  <c r="H26" i="3"/>
  <c r="I26" i="3"/>
  <c r="H16" i="3"/>
  <c r="I16" i="3"/>
  <c r="I13" i="3"/>
  <c r="H13" i="3"/>
  <c r="G25" i="3"/>
  <c r="G47" i="3"/>
  <c r="G24" i="3"/>
  <c r="G9" i="3"/>
  <c r="F9" i="3"/>
  <c r="G34" i="3"/>
  <c r="G57" i="3" s="1"/>
  <c r="F11" i="7"/>
  <c r="F10" i="7" s="1"/>
  <c r="E11" i="7"/>
  <c r="E10" i="7" s="1"/>
  <c r="E27" i="7" s="1"/>
  <c r="F34" i="3"/>
  <c r="G72" i="3"/>
  <c r="F72" i="3"/>
  <c r="G70" i="3"/>
  <c r="F70" i="3"/>
  <c r="G66" i="3"/>
  <c r="F66" i="3"/>
  <c r="G150" i="3"/>
  <c r="F150" i="3"/>
  <c r="G132" i="3"/>
  <c r="F132" i="3"/>
  <c r="F131" i="3" s="1"/>
  <c r="G107" i="3"/>
  <c r="F107" i="3"/>
  <c r="G105" i="3"/>
  <c r="F105" i="3"/>
  <c r="G122" i="3"/>
  <c r="F122" i="3"/>
  <c r="F121" i="3" s="1"/>
  <c r="F27" i="7" l="1"/>
  <c r="G10" i="7"/>
  <c r="G131" i="3"/>
  <c r="I132" i="3"/>
  <c r="H132" i="3"/>
  <c r="I150" i="3"/>
  <c r="H150" i="3"/>
  <c r="G121" i="3"/>
  <c r="I122" i="3"/>
  <c r="H122" i="3"/>
  <c r="H107" i="3"/>
  <c r="I107" i="3"/>
  <c r="H72" i="3"/>
  <c r="I72" i="3"/>
  <c r="H70" i="3"/>
  <c r="I70" i="3"/>
  <c r="H66" i="3"/>
  <c r="I66" i="3"/>
  <c r="H47" i="3"/>
  <c r="I47" i="3"/>
  <c r="I34" i="3"/>
  <c r="H34" i="3"/>
  <c r="H25" i="3"/>
  <c r="I25" i="3"/>
  <c r="H9" i="3"/>
  <c r="I9" i="3"/>
  <c r="I24" i="3"/>
  <c r="H24" i="3"/>
  <c r="G8" i="3"/>
  <c r="F57" i="3"/>
  <c r="H6" i="1" s="1"/>
  <c r="H12" i="1" s="1"/>
  <c r="F8" i="3"/>
  <c r="G65" i="3"/>
  <c r="F65" i="3"/>
  <c r="F95" i="3"/>
  <c r="G95" i="3"/>
  <c r="F87" i="3"/>
  <c r="G87" i="3"/>
  <c r="G143" i="3"/>
  <c r="F143" i="3"/>
  <c r="F142" i="3" s="1"/>
  <c r="F141" i="3" s="1"/>
  <c r="G82" i="3"/>
  <c r="F82" i="3"/>
  <c r="D12" i="5"/>
  <c r="C12" i="5"/>
  <c r="C11" i="5" s="1"/>
  <c r="B12" i="5"/>
  <c r="B11" i="5" s="1"/>
  <c r="D11" i="5" l="1"/>
  <c r="E12" i="5"/>
  <c r="F12" i="5"/>
  <c r="I131" i="3"/>
  <c r="H131" i="3"/>
  <c r="G142" i="3"/>
  <c r="H121" i="3"/>
  <c r="I121" i="3"/>
  <c r="I95" i="3"/>
  <c r="H95" i="3"/>
  <c r="I87" i="3"/>
  <c r="H87" i="3"/>
  <c r="H82" i="3"/>
  <c r="I82" i="3"/>
  <c r="H65" i="3"/>
  <c r="I65" i="3"/>
  <c r="I57" i="3"/>
  <c r="H57" i="3"/>
  <c r="H8" i="3"/>
  <c r="I8" i="3"/>
  <c r="F81" i="3"/>
  <c r="G81" i="3"/>
  <c r="F148" i="7"/>
  <c r="E148" i="7"/>
  <c r="F141" i="7"/>
  <c r="E141" i="7"/>
  <c r="F132" i="7"/>
  <c r="F131" i="7" s="1"/>
  <c r="E132" i="7"/>
  <c r="E131" i="7" s="1"/>
  <c r="F123" i="7"/>
  <c r="E123" i="7"/>
  <c r="F111" i="7"/>
  <c r="E111" i="7"/>
  <c r="F103" i="7"/>
  <c r="E103" i="7"/>
  <c r="F98" i="7"/>
  <c r="E98" i="7"/>
  <c r="F92" i="7"/>
  <c r="E92" i="7"/>
  <c r="F88" i="7"/>
  <c r="E88" i="7"/>
  <c r="F49" i="7"/>
  <c r="E49" i="7"/>
  <c r="F41" i="7"/>
  <c r="E41" i="7"/>
  <c r="F36" i="7"/>
  <c r="E36" i="7"/>
  <c r="F35" i="7" l="1"/>
  <c r="E11" i="5"/>
  <c r="F11" i="5"/>
  <c r="G141" i="3"/>
  <c r="H142" i="3"/>
  <c r="I142" i="3"/>
  <c r="G64" i="3"/>
  <c r="G158" i="3" s="1"/>
  <c r="H81" i="3"/>
  <c r="I81" i="3"/>
  <c r="E35" i="7"/>
  <c r="F64" i="3"/>
  <c r="F158" i="3" s="1"/>
  <c r="E135" i="7"/>
  <c r="E140" i="7"/>
  <c r="E139" i="7" s="1"/>
  <c r="F135" i="7"/>
  <c r="F140" i="7"/>
  <c r="F139" i="7" s="1"/>
  <c r="E97" i="7"/>
  <c r="E87" i="7" s="1"/>
  <c r="F97" i="7"/>
  <c r="F87" i="7" s="1"/>
  <c r="H64" i="3" l="1"/>
  <c r="I64" i="3"/>
  <c r="I141" i="3"/>
  <c r="H141" i="3"/>
  <c r="I158" i="3"/>
  <c r="H158" i="3"/>
  <c r="F86" i="7"/>
  <c r="F151" i="7" s="1"/>
  <c r="E86" i="7"/>
  <c r="E151" i="7" s="1"/>
  <c r="F34" i="7"/>
  <c r="E34" i="7"/>
  <c r="E79" i="7" s="1"/>
</calcChain>
</file>

<file path=xl/sharedStrings.xml><?xml version="1.0" encoding="utf-8"?>
<sst xmlns="http://schemas.openxmlformats.org/spreadsheetml/2006/main" count="601" uniqueCount="162">
  <si>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</si>
  <si>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</si>
  <si>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</si>
  <si>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</si>
  <si>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</si>
  <si>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</si>
  <si>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</si>
  <si>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</si>
  <si>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</si>
  <si>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</si>
  <si>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</si>
  <si>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</si>
  <si>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</si>
  <si>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</si>
  <si>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</si>
  <si>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</si>
  <si>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</si>
  <si>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</si>
  <si>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</si>
  <si>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</si>
  <si>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Rashodi poslovanja</t>
  </si>
  <si>
    <t>Rashodi za zaposlene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</si>
  <si>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</si>
  <si>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</si>
  <si>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</si>
  <si>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</si>
  <si>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</si>
  <si>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</si>
  <si>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</si>
  <si>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</si>
  <si>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</si>
  <si>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</si>
  <si>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</si>
  <si>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</si>
  <si>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</si>
  <si>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</si>
  <si>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</si>
  <si>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NAZIV PROGRAMA</t>
  </si>
  <si>
    <t>A) SAŽETAK RAČUNA PRIHODA I RASHODA</t>
  </si>
  <si>
    <t>B) SAŽETAK RAČUNA FINANCIRANJA</t>
  </si>
  <si>
    <t>UKUPAN DONOS VIŠKA / MANJKA IZ PRETHODNE(IH) GODINE***</t>
  </si>
  <si>
    <t>Plan za 2023.</t>
  </si>
  <si>
    <t>Pomoći iz inozemstva i od subjekata unutar općeg proračuna</t>
  </si>
  <si>
    <t>Ostale pomoći</t>
  </si>
  <si>
    <t>Ostali prihodi za posebne namjene</t>
  </si>
  <si>
    <t>Rashodi za nabavu proizvedene dugotrajne imovine</t>
  </si>
  <si>
    <t>C) PRENESENI VIŠAK ILI PRENESENI MANJAK I VIŠEGODIŠNJI PLAN URAVNOTEŽENJA</t>
  </si>
  <si>
    <t>Naziv</t>
  </si>
  <si>
    <t>Plaće (bruto)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</si>
  <si>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</si>
  <si>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</si>
  <si>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</si>
  <si>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</si>
  <si>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</si>
  <si>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</si>
  <si>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</si>
  <si>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</si>
  <si>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</si>
  <si>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>Postrojenja i oprema</t>
  </si>
  <si>
    <t>Knjige, umjetnička djela i ostale izložbene vrijednosti</t>
  </si>
  <si>
    <t>Plaće za redovan rad</t>
  </si>
  <si>
    <t>Plaće za prekovremeni rad</t>
  </si>
  <si>
    <t>Plaće za posebne uvjete rada</t>
  </si>
  <si>
    <t>Ostali rashodi za zapslene</t>
  </si>
  <si>
    <t>Ostali rashodi za zaposlene</t>
  </si>
  <si>
    <t>Doprinos za mirovinsko osiguranje</t>
  </si>
  <si>
    <t>Dobrinos za obvezno zdravstveno osiguranje</t>
  </si>
  <si>
    <t>Službena putovanja</t>
  </si>
  <si>
    <t>Naknade za prijevoz, ra rad na terenu i odvojeni život</t>
  </si>
  <si>
    <t>Stručno usavršavanje zaposlenika</t>
  </si>
  <si>
    <t>Ostale naknade troškova zaposlenika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</si>
  <si>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</si>
  <si>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</si>
  <si>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</si>
  <si>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</si>
  <si>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</si>
  <si>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 upotrebu</t>
  </si>
  <si>
    <t>Službena , radna i zaštitna odjeća i obuća</t>
  </si>
  <si>
    <t>Usluge telofona, pošte i prijevoza</t>
  </si>
  <si>
    <t>Usluge tekućeg i investicijskog održavanja</t>
  </si>
  <si>
    <t>Usluge promidžbe i informiranja</t>
  </si>
  <si>
    <t>Komunalne usluge</t>
  </si>
  <si>
    <t>Zakupnine i najamnine</t>
  </si>
  <si>
    <t>Zadravstvene i veterinarske usluge</t>
  </si>
  <si>
    <t>Intelektualne i osobne usluge</t>
  </si>
  <si>
    <t>Računalne usluge</t>
  </si>
  <si>
    <t>Ostale usluge</t>
  </si>
  <si>
    <t>Naknada troškova osobama izvan radnog odnosa</t>
  </si>
  <si>
    <t>Ostali nespomenuti rashodi psolovanja</t>
  </si>
  <si>
    <t>Naknade za rad predstavničkih i izvršnih tijela, povjerenstava i slično</t>
  </si>
  <si>
    <t>Premije osiguranja</t>
  </si>
  <si>
    <t>Reprezenatacije</t>
  </si>
  <si>
    <t>Članarine i norme</t>
  </si>
  <si>
    <t>Pristojbe i naknade</t>
  </si>
  <si>
    <t>Troškovi sudskih postupaka</t>
  </si>
  <si>
    <t>Bankarske usluge i usluge platnog prometa</t>
  </si>
  <si>
    <t>Zatezne kamate</t>
  </si>
  <si>
    <t>Naknade građanima i kućanstvima u novcu</t>
  </si>
  <si>
    <t>Naknade građanima i kućanstvima u naravi</t>
  </si>
  <si>
    <t>Uredska oprema i namještaj</t>
  </si>
  <si>
    <t>Komunikacijska oprema</t>
  </si>
  <si>
    <t>Oprema za održavanje i zaštitu</t>
  </si>
  <si>
    <t>Instrumenti uređaji i strojevi</t>
  </si>
  <si>
    <t>Sportska i glazbena oprema</t>
  </si>
  <si>
    <t>Uređaji, strojevi i oprema za ostale namjene</t>
  </si>
  <si>
    <t>Knjige</t>
  </si>
  <si>
    <t>UKUPNO:</t>
  </si>
  <si>
    <t>Plan 2023.</t>
  </si>
  <si>
    <t>Projekcija
za 2024.</t>
  </si>
  <si>
    <t>ŠKOLSTVO1013</t>
  </si>
  <si>
    <t>09 Obrazovanje</t>
  </si>
  <si>
    <t>0912 Osnovno obrazovanje</t>
  </si>
  <si>
    <t>096 Dodatne usluge u obrazovanju</t>
  </si>
  <si>
    <t>098 Usluge obrazovanja koje nisu drugdje
svrstane</t>
  </si>
  <si>
    <t>Pomoći EU</t>
  </si>
  <si>
    <t>Nakn.trošk.osobama izvan rad.odn.</t>
  </si>
  <si>
    <t>Nakn.trošk.osobama izvan radnog odnosa</t>
  </si>
  <si>
    <t>UKUPNO RASHODI</t>
  </si>
  <si>
    <t>Pomoći proračnskim korisnicma iz proračuna koji im nije nadležan</t>
  </si>
  <si>
    <t>Tekuće pomoći proraračnskim korisnicima iz proraučuna koji im nije nadležan</t>
  </si>
  <si>
    <t>Kapitalne pomoći proračunskim korisnicma iz proračuna koji im nije nadležan</t>
  </si>
  <si>
    <t>Pomoći temeljem prijenosa EU sredstava</t>
  </si>
  <si>
    <t>Tekuće pomoći temeljem prijenosa EU sredstava</t>
  </si>
  <si>
    <t>Kapitalne pomoći temeljem prijenosa EU sredstava</t>
  </si>
  <si>
    <t>Prihodi po posebnim propisima</t>
  </si>
  <si>
    <t>Prihodi od upravnih i administrativnih 
pristojbi, pristojbi po posebnim propisima i naknada</t>
  </si>
  <si>
    <t>Prihodi od prodaje proizvoda i robe te pruženih usluga i prihoda od donacija</t>
  </si>
  <si>
    <t>Prihodi odr prodaje proizvoda i roba te pruženh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</si>
  <si>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</si>
  <si>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</si>
  <si>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</si>
  <si>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</si>
  <si>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</si>
  <si>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</si>
  <si>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</si>
  <si>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</si>
  <si>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neifnancijske imovine</t>
  </si>
  <si>
    <t>UKUPNO PRIHODI</t>
  </si>
  <si>
    <t>Naknade za prijevoz, za rad na terenu i odvojeni život</t>
  </si>
  <si>
    <t>Aktivnost A101330</t>
  </si>
  <si>
    <t>Aktivnost A101314</t>
  </si>
  <si>
    <t>Vlastiti i ostali prihodi</t>
  </si>
  <si>
    <t>Aktivnost A101301</t>
  </si>
  <si>
    <t>Decentralizirana sredstva</t>
  </si>
  <si>
    <t>Aktivnost T100103</t>
  </si>
  <si>
    <t>Projekt ''Školski obroci svima''</t>
  </si>
  <si>
    <t>Osnovno školstvo</t>
  </si>
  <si>
    <t>Ostali izdaci za osnovne škole</t>
  </si>
  <si>
    <t xml:space="preserve">Vlastiti i ostali prihodi </t>
  </si>
  <si>
    <t xml:space="preserve">Pomoći proračnunu iz drugih proračuna </t>
  </si>
  <si>
    <t xml:space="preserve">Tekuće pomoći proraračunu iz drugih proračuna </t>
  </si>
  <si>
    <t xml:space="preserve">Kapitalne pomoći proraračunu iz drugih proračuna </t>
  </si>
  <si>
    <t>Ostali nespomenuti prihodi</t>
  </si>
  <si>
    <t>POLUGODIŠNJI IZVJEŠTAJ O IZVRŠENJU FINANCIJSKOG PLANA ZA 2023. g.</t>
  </si>
  <si>
    <t xml:space="preserve">Plan tekuće godine </t>
  </si>
  <si>
    <t>Izvršenje tekuće godine</t>
  </si>
  <si>
    <t>Izvršenje prethodne godine</t>
  </si>
  <si>
    <t>Indeks</t>
  </si>
  <si>
    <t>INDEKS</t>
  </si>
  <si>
    <t>5=4/2*100</t>
  </si>
  <si>
    <t>6=4/3*100</t>
  </si>
  <si>
    <t>4=3/2*100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</si>
</sst>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8"/>
      <color rgb="FF000000"/>
      <name val="Calibri"/>
      <family val="2"/>
    </font>
    <font>
      <b/>
      <i/>
      <sz val="8"/>
      <color rgb="FF00206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b/>
      <i/>
      <sz val="9"/>
      <color rgb="FF00206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35">
    <xf numFmtId="0" fontId="0" fillId="0" borderId="0" xfId="0"/>
    <xf numFmtId="0" fontId="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3" fontId="5" fillId="0" borderId="7" xfId="0" applyNumberFormat="1" applyFont="1" applyBorder="1" applyAlignment="1">
      <alignment horizontal="center" vertical="center"/>
    </xf>
    <xf numFmtId="0" fontId="0" fillId="0" borderId="3" xfId="0" applyFont="1" applyBorder="1"/>
    <xf numFmtId="0" fontId="0" fillId="0" borderId="0" xfId="0" applyFont="1"/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3" fontId="7" fillId="2" borderId="4" xfId="0" applyNumberFormat="1" applyFont="1" applyFill="1" applyBorder="1" applyAlignment="1">
      <alignment horizontal="right"/>
    </xf>
    <xf numFmtId="2" fontId="6" fillId="7" borderId="4" xfId="0" applyNumberFormat="1" applyFont="1" applyFill="1" applyBorder="1" applyAlignment="1">
      <alignment horizontal="right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2" fontId="6" fillId="6" borderId="4" xfId="0" applyNumberFormat="1" applyFont="1" applyFill="1" applyBorder="1" applyAlignment="1">
      <alignment horizontal="right"/>
    </xf>
    <xf numFmtId="0" fontId="7" fillId="5" borderId="1" xfId="0" applyNumberFormat="1" applyFont="1" applyFill="1" applyBorder="1" applyAlignment="1" applyProtection="1">
      <alignment horizontal="left" vertical="center" wrapText="1" indent="1"/>
    </xf>
    <xf numFmtId="0" fontId="7" fillId="5" borderId="2" xfId="0" applyNumberFormat="1" applyFont="1" applyFill="1" applyBorder="1" applyAlignment="1" applyProtection="1">
      <alignment horizontal="left" vertical="center" wrapText="1" indent="1"/>
    </xf>
    <xf numFmtId="0" fontId="7" fillId="5" borderId="4" xfId="0" applyNumberFormat="1" applyFont="1" applyFill="1" applyBorder="1" applyAlignment="1" applyProtection="1">
      <alignment horizontal="left" vertical="center" wrapText="1" indent="1"/>
    </xf>
    <xf numFmtId="0" fontId="7" fillId="5" borderId="4" xfId="0" applyNumberFormat="1" applyFont="1" applyFill="1" applyBorder="1" applyAlignment="1" applyProtection="1">
      <alignment horizontal="left" vertical="center" wrapText="1"/>
    </xf>
    <xf numFmtId="2" fontId="7" fillId="5" borderId="4" xfId="0" applyNumberFormat="1" applyFont="1" applyFill="1" applyBorder="1" applyAlignment="1">
      <alignment horizontal="right"/>
    </xf>
    <xf numFmtId="0" fontId="7" fillId="2" borderId="1" xfId="0" applyNumberFormat="1" applyFont="1" applyFill="1" applyBorder="1" applyAlignment="1" applyProtection="1">
      <alignment horizontal="left" vertical="center" wrapText="1" indent="1"/>
    </xf>
    <xf numFmtId="0" fontId="7" fillId="2" borderId="2" xfId="0" applyNumberFormat="1" applyFont="1" applyFill="1" applyBorder="1" applyAlignment="1" applyProtection="1">
      <alignment horizontal="left" vertical="center" wrapText="1" indent="1"/>
    </xf>
    <xf numFmtId="0" fontId="7" fillId="2" borderId="4" xfId="0" applyNumberFormat="1" applyFont="1" applyFill="1" applyBorder="1" applyAlignment="1" applyProtection="1">
      <alignment horizontal="left" vertical="center" wrapText="1" inden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2" fontId="7" fillId="2" borderId="4" xfId="0" applyNumberFormat="1" applyFont="1" applyFill="1" applyBorder="1" applyAlignment="1">
      <alignment horizontal="right"/>
    </xf>
    <xf numFmtId="3" fontId="6" fillId="6" borderId="4" xfId="0" applyNumberFormat="1" applyFont="1" applyFill="1" applyBorder="1" applyAlignment="1">
      <alignment horizontal="right"/>
    </xf>
    <xf numFmtId="3" fontId="7" fillId="5" borderId="4" xfId="0" applyNumberFormat="1" applyFont="1" applyFill="1" applyBorder="1" applyAlignment="1">
      <alignment horizontal="right"/>
    </xf>
    <xf numFmtId="0" fontId="7" fillId="8" borderId="4" xfId="0" applyNumberFormat="1" applyFont="1" applyFill="1" applyBorder="1" applyAlignment="1" applyProtection="1">
      <alignment horizontal="left" vertical="center" wrapText="1"/>
    </xf>
    <xf numFmtId="4" fontId="6" fillId="7" borderId="4" xfId="0" applyNumberFormat="1" applyFont="1" applyFill="1" applyBorder="1" applyAlignment="1">
      <alignment horizontal="right"/>
    </xf>
    <xf numFmtId="4" fontId="6" fillId="6" borderId="4" xfId="0" applyNumberFormat="1" applyFont="1" applyFill="1" applyBorder="1" applyAlignment="1">
      <alignment horizontal="right"/>
    </xf>
    <xf numFmtId="4" fontId="7" fillId="5" borderId="4" xfId="0" applyNumberFormat="1" applyFont="1" applyFill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3" fontId="5" fillId="0" borderId="8" xfId="0" applyNumberFormat="1" applyFont="1" applyBorder="1" applyAlignment="1">
      <alignment horizontal="center" vertical="center"/>
    </xf>
    <xf numFmtId="0" fontId="6" fillId="7" borderId="1" xfId="0" applyNumberFormat="1" applyFont="1" applyFill="1" applyBorder="1" applyAlignment="1" applyProtection="1">
      <alignment horizontal="left" vertical="center" wrapText="1" indent="1"/>
    </xf>
    <xf numFmtId="0" fontId="6" fillId="7" borderId="2" xfId="0" applyNumberFormat="1" applyFont="1" applyFill="1" applyBorder="1" applyAlignment="1" applyProtection="1">
      <alignment horizontal="left" vertical="center" wrapText="1" indent="1"/>
    </xf>
    <xf numFmtId="0" fontId="6" fillId="7" borderId="4" xfId="0" applyNumberFormat="1" applyFont="1" applyFill="1" applyBorder="1" applyAlignment="1" applyProtection="1">
      <alignment horizontal="left" vertical="center" wrapText="1" indent="1"/>
    </xf>
    <xf numFmtId="3" fontId="5" fillId="0" borderId="3" xfId="0" applyNumberFormat="1" applyFont="1" applyBorder="1" applyAlignment="1">
      <alignment horizontal="center" vertical="center"/>
    </xf>
    <xf numFmtId="4" fontId="7" fillId="8" borderId="4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 applyProtection="1">
      <alignment horizontal="left" vertical="center" wrapText="1" indent="1"/>
    </xf>
    <xf numFmtId="4" fontId="7" fillId="8" borderId="3" xfId="0" applyNumberFormat="1" applyFont="1" applyFill="1" applyBorder="1" applyAlignment="1">
      <alignment horizontal="right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>
      <alignment horizontal="right"/>
    </xf>
    <xf numFmtId="0" fontId="9" fillId="2" borderId="7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6" fillId="4" borderId="6" xfId="0" applyNumberFormat="1" applyFont="1" applyFill="1" applyBorder="1" applyAlignment="1" applyProtection="1">
      <alignment horizontal="center" vertical="center" wrapText="1"/>
    </xf>
    <xf numFmtId="0" fontId="13" fillId="2" borderId="3" xfId="0" applyNumberFormat="1" applyFont="1" applyFill="1" applyBorder="1" applyAlignment="1" applyProtection="1">
      <alignment horizontal="left" vertical="center" wrapText="1"/>
    </xf>
    <xf numFmtId="3" fontId="7" fillId="2" borderId="3" xfId="0" applyNumberFormat="1" applyFont="1" applyFill="1" applyBorder="1" applyAlignment="1">
      <alignment horizontal="right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0" fontId="14" fillId="2" borderId="3" xfId="0" quotePrefix="1" applyFont="1" applyFill="1" applyBorder="1" applyAlignment="1">
      <alignment horizontal="left" vertical="center"/>
    </xf>
    <xf numFmtId="0" fontId="15" fillId="2" borderId="3" xfId="0" quotePrefix="1" applyFont="1" applyFill="1" applyBorder="1" applyAlignment="1">
      <alignment horizontal="left" vertical="center"/>
    </xf>
    <xf numFmtId="0" fontId="15" fillId="2" borderId="3" xfId="0" quotePrefix="1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/>
    </xf>
    <xf numFmtId="0" fontId="13" fillId="2" borderId="3" xfId="0" applyNumberFormat="1" applyFont="1" applyFill="1" applyBorder="1" applyAlignment="1" applyProtection="1">
      <alignment horizontal="left" vertical="center"/>
    </xf>
    <xf numFmtId="0" fontId="13" fillId="2" borderId="3" xfId="0" applyNumberFormat="1" applyFont="1" applyFill="1" applyBorder="1" applyAlignment="1" applyProtection="1">
      <alignment vertical="center" wrapText="1"/>
    </xf>
    <xf numFmtId="0" fontId="14" fillId="2" borderId="3" xfId="0" applyNumberFormat="1" applyFont="1" applyFill="1" applyBorder="1" applyAlignment="1" applyProtection="1">
      <alignment vertical="center" wrapText="1"/>
    </xf>
    <xf numFmtId="3" fontId="5" fillId="15" borderId="7" xfId="0" applyNumberFormat="1" applyFont="1" applyFill="1" applyBorder="1" applyAlignment="1">
      <alignment horizontal="center" vertical="center" wrapText="1"/>
    </xf>
    <xf numFmtId="3" fontId="5" fillId="15" borderId="8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7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wrapText="1"/>
    </xf>
    <xf numFmtId="3" fontId="11" fillId="0" borderId="0" xfId="0" applyNumberFormat="1" applyFont="1" applyBorder="1" applyAlignment="1">
      <alignment horizontal="right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wrapText="1"/>
    </xf>
    <xf numFmtId="0" fontId="11" fillId="0" borderId="5" xfId="0" applyNumberFormat="1" applyFont="1" applyFill="1" applyBorder="1" applyAlignment="1" applyProtection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left" wrapText="1"/>
    </xf>
    <xf numFmtId="0" fontId="11" fillId="0" borderId="2" xfId="0" quotePrefix="1" applyFont="1" applyBorder="1" applyAlignment="1">
      <alignment horizontal="left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quotePrefix="1" applyNumberFormat="1" applyFont="1" applyFill="1" applyBorder="1" applyAlignment="1" applyProtection="1">
      <alignment horizontal="left"/>
    </xf>
    <xf numFmtId="0" fontId="11" fillId="2" borderId="3" xfId="0" applyNumberFormat="1" applyFont="1" applyFill="1" applyBorder="1" applyAlignment="1" applyProtection="1">
      <alignment horizontal="center" vertical="center" wrapText="1"/>
    </xf>
    <xf numFmtId="3" fontId="11" fillId="3" borderId="3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 horizontal="left" vertical="center"/>
    </xf>
    <xf numFmtId="0" fontId="18" fillId="3" borderId="2" xfId="0" applyNumberFormat="1" applyFont="1" applyFill="1" applyBorder="1" applyAlignment="1" applyProtection="1">
      <alignment vertical="center"/>
    </xf>
    <xf numFmtId="3" fontId="11" fillId="0" borderId="3" xfId="0" applyNumberFormat="1" applyFont="1" applyBorder="1" applyAlignment="1">
      <alignment horizontal="right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11" fillId="0" borderId="0" xfId="0" quotePrefix="1" applyNumberFormat="1" applyFont="1" applyFill="1" applyBorder="1" applyAlignment="1" applyProtection="1">
      <alignment horizontal="center" vertical="center" wrapText="1"/>
    </xf>
    <xf numFmtId="3" fontId="11" fillId="4" borderId="1" xfId="0" quotePrefix="1" applyNumberFormat="1" applyFont="1" applyFill="1" applyBorder="1" applyAlignment="1">
      <alignment horizontal="right"/>
    </xf>
    <xf numFmtId="0" fontId="1" fillId="0" borderId="0" xfId="0" applyFont="1"/>
    <xf numFmtId="2" fontId="0" fillId="0" borderId="3" xfId="0" applyNumberFormat="1" applyFont="1" applyBorder="1"/>
    <xf numFmtId="4" fontId="11" fillId="3" borderId="3" xfId="0" applyNumberFormat="1" applyFont="1" applyFill="1" applyBorder="1" applyAlignment="1">
      <alignment horizontal="right"/>
    </xf>
    <xf numFmtId="4" fontId="11" fillId="0" borderId="3" xfId="0" applyNumberFormat="1" applyFont="1" applyFill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4" fontId="11" fillId="3" borderId="1" xfId="0" quotePrefix="1" applyNumberFormat="1" applyFont="1" applyFill="1" applyBorder="1" applyAlignment="1">
      <alignment horizontal="right"/>
    </xf>
    <xf numFmtId="2" fontId="7" fillId="2" borderId="3" xfId="0" applyNumberFormat="1" applyFont="1" applyFill="1" applyBorder="1" applyAlignment="1">
      <alignment horizontal="right"/>
    </xf>
    <xf numFmtId="2" fontId="2" fillId="0" borderId="3" xfId="0" applyNumberFormat="1" applyFont="1" applyBorder="1"/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 indent="1"/>
    </xf>
    <xf numFmtId="0" fontId="20" fillId="4" borderId="3" xfId="0" applyNumberFormat="1" applyFont="1" applyFill="1" applyBorder="1" applyAlignment="1" applyProtection="1">
      <alignment horizontal="center" vertical="center" wrapText="1"/>
    </xf>
    <xf numFmtId="0" fontId="20" fillId="4" borderId="4" xfId="0" applyNumberFormat="1" applyFont="1" applyFill="1" applyBorder="1" applyAlignment="1" applyProtection="1">
      <alignment horizontal="center" vertical="center" wrapText="1"/>
    </xf>
    <xf numFmtId="3" fontId="21" fillId="14" borderId="3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3" fontId="21" fillId="0" borderId="3" xfId="0" applyNumberFormat="1" applyFont="1" applyBorder="1" applyAlignment="1">
      <alignment horizontal="center" vertical="center"/>
    </xf>
    <xf numFmtId="0" fontId="20" fillId="7" borderId="3" xfId="0" applyNumberFormat="1" applyFont="1" applyFill="1" applyBorder="1" applyAlignment="1" applyProtection="1">
      <alignment horizontal="left" vertical="center" wrapText="1"/>
    </xf>
    <xf numFmtId="0" fontId="20" fillId="7" borderId="4" xfId="0" applyNumberFormat="1" applyFont="1" applyFill="1" applyBorder="1" applyAlignment="1" applyProtection="1">
      <alignment horizontal="left" vertical="center" wrapText="1"/>
    </xf>
    <xf numFmtId="4" fontId="20" fillId="7" borderId="4" xfId="0" applyNumberFormat="1" applyFont="1" applyFill="1" applyBorder="1" applyAlignment="1">
      <alignment horizontal="center"/>
    </xf>
    <xf numFmtId="0" fontId="23" fillId="10" borderId="3" xfId="0" applyNumberFormat="1" applyFont="1" applyFill="1" applyBorder="1" applyAlignment="1" applyProtection="1">
      <alignment horizontal="left" vertical="center" wrapText="1"/>
    </xf>
    <xf numFmtId="0" fontId="24" fillId="10" borderId="3" xfId="0" applyNumberFormat="1" applyFont="1" applyFill="1" applyBorder="1" applyAlignment="1" applyProtection="1">
      <alignment horizontal="left" vertical="center" wrapText="1"/>
    </xf>
    <xf numFmtId="0" fontId="20" fillId="6" borderId="4" xfId="0" applyNumberFormat="1" applyFont="1" applyFill="1" applyBorder="1" applyAlignment="1" applyProtection="1">
      <alignment horizontal="left" vertical="center" wrapText="1"/>
    </xf>
    <xf numFmtId="4" fontId="0" fillId="10" borderId="3" xfId="0" applyNumberFormat="1" applyFont="1" applyFill="1" applyBorder="1" applyAlignment="1">
      <alignment horizontal="center"/>
    </xf>
    <xf numFmtId="0" fontId="23" fillId="9" borderId="3" xfId="0" applyNumberFormat="1" applyFont="1" applyFill="1" applyBorder="1" applyAlignment="1" applyProtection="1">
      <alignment horizontal="left" vertical="center" wrapText="1"/>
    </xf>
    <xf numFmtId="0" fontId="24" fillId="9" borderId="3" xfId="0" applyNumberFormat="1" applyFont="1" applyFill="1" applyBorder="1" applyAlignment="1" applyProtection="1">
      <alignment horizontal="left" vertical="center" wrapText="1"/>
    </xf>
    <xf numFmtId="0" fontId="25" fillId="5" borderId="4" xfId="0" applyNumberFormat="1" applyFont="1" applyFill="1" applyBorder="1" applyAlignment="1" applyProtection="1">
      <alignment horizontal="left" vertical="center" wrapText="1"/>
    </xf>
    <xf numFmtId="4" fontId="25" fillId="5" borderId="3" xfId="0" applyNumberFormat="1" applyFont="1" applyFill="1" applyBorder="1" applyAlignment="1">
      <alignment horizontal="center"/>
    </xf>
    <xf numFmtId="0" fontId="24" fillId="2" borderId="3" xfId="0" quotePrefix="1" applyFont="1" applyFill="1" applyBorder="1" applyAlignment="1">
      <alignment horizontal="left" vertical="center"/>
    </xf>
    <xf numFmtId="0" fontId="26" fillId="2" borderId="3" xfId="0" quotePrefix="1" applyFont="1" applyFill="1" applyBorder="1" applyAlignment="1">
      <alignment horizontal="left" vertical="center"/>
    </xf>
    <xf numFmtId="0" fontId="25" fillId="2" borderId="4" xfId="0" applyNumberFormat="1" applyFont="1" applyFill="1" applyBorder="1" applyAlignment="1" applyProtection="1">
      <alignment horizontal="left" vertical="center" wrapText="1"/>
    </xf>
    <xf numFmtId="4" fontId="25" fillId="2" borderId="3" xfId="0" applyNumberFormat="1" applyFont="1" applyFill="1" applyBorder="1" applyAlignment="1">
      <alignment horizontal="center"/>
    </xf>
    <xf numFmtId="0" fontId="24" fillId="9" borderId="3" xfId="0" quotePrefix="1" applyFont="1" applyFill="1" applyBorder="1" applyAlignment="1">
      <alignment horizontal="left" vertical="center"/>
    </xf>
    <xf numFmtId="0" fontId="26" fillId="9" borderId="3" xfId="0" quotePrefix="1" applyFont="1" applyFill="1" applyBorder="1" applyAlignment="1">
      <alignment horizontal="left" vertical="center"/>
    </xf>
    <xf numFmtId="4" fontId="25" fillId="9" borderId="4" xfId="0" applyNumberFormat="1" applyFont="1" applyFill="1" applyBorder="1" applyAlignment="1">
      <alignment horizontal="center"/>
    </xf>
    <xf numFmtId="0" fontId="24" fillId="11" borderId="3" xfId="0" quotePrefix="1" applyFont="1" applyFill="1" applyBorder="1" applyAlignment="1">
      <alignment horizontal="left" vertical="center"/>
    </xf>
    <xf numFmtId="0" fontId="26" fillId="11" borderId="3" xfId="0" quotePrefix="1" applyFont="1" applyFill="1" applyBorder="1" applyAlignment="1">
      <alignment horizontal="left" vertical="center"/>
    </xf>
    <xf numFmtId="4" fontId="25" fillId="11" borderId="3" xfId="0" applyNumberFormat="1" applyFont="1" applyFill="1" applyBorder="1" applyAlignment="1">
      <alignment horizontal="center"/>
    </xf>
    <xf numFmtId="0" fontId="24" fillId="11" borderId="3" xfId="0" applyNumberFormat="1" applyFont="1" applyFill="1" applyBorder="1" applyAlignment="1" applyProtection="1">
      <alignment horizontal="left" vertical="center" wrapText="1"/>
    </xf>
    <xf numFmtId="0" fontId="24" fillId="10" borderId="1" xfId="0" applyNumberFormat="1" applyFont="1" applyFill="1" applyBorder="1" applyAlignment="1" applyProtection="1">
      <alignment horizontal="left" vertical="center" wrapText="1"/>
    </xf>
    <xf numFmtId="0" fontId="24" fillId="10" borderId="3" xfId="0" quotePrefix="1" applyFont="1" applyFill="1" applyBorder="1" applyAlignment="1">
      <alignment horizontal="left" vertical="center"/>
    </xf>
    <xf numFmtId="0" fontId="26" fillId="10" borderId="3" xfId="0" quotePrefix="1" applyFont="1" applyFill="1" applyBorder="1" applyAlignment="1">
      <alignment horizontal="left" vertical="center"/>
    </xf>
    <xf numFmtId="0" fontId="24" fillId="5" borderId="1" xfId="0" applyNumberFormat="1" applyFont="1" applyFill="1" applyBorder="1" applyAlignment="1" applyProtection="1">
      <alignment horizontal="left" vertical="center" wrapText="1"/>
    </xf>
    <xf numFmtId="0" fontId="24" fillId="5" borderId="3" xfId="0" applyNumberFormat="1" applyFont="1" applyFill="1" applyBorder="1" applyAlignment="1" applyProtection="1">
      <alignment horizontal="left" vertical="center" wrapText="1"/>
    </xf>
    <xf numFmtId="0" fontId="26" fillId="5" borderId="3" xfId="0" quotePrefix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 applyProtection="1">
      <alignment horizontal="left" vertical="center" wrapText="1"/>
    </xf>
    <xf numFmtId="0" fontId="24" fillId="2" borderId="3" xfId="0" applyNumberFormat="1" applyFont="1" applyFill="1" applyBorder="1" applyAlignment="1" applyProtection="1">
      <alignment horizontal="left" vertical="center" wrapText="1"/>
    </xf>
    <xf numFmtId="0" fontId="0" fillId="5" borderId="1" xfId="0" applyFont="1" applyFill="1" applyBorder="1"/>
    <xf numFmtId="0" fontId="24" fillId="5" borderId="3" xfId="0" quotePrefix="1" applyFont="1" applyFill="1" applyBorder="1" applyAlignment="1">
      <alignment horizontal="left" vertical="center"/>
    </xf>
    <xf numFmtId="4" fontId="0" fillId="5" borderId="3" xfId="0" applyNumberFormat="1" applyFont="1" applyFill="1" applyBorder="1" applyAlignment="1">
      <alignment horizontal="center"/>
    </xf>
    <xf numFmtId="0" fontId="0" fillId="0" borderId="1" xfId="0" applyFont="1" applyBorder="1"/>
    <xf numFmtId="4" fontId="0" fillId="0" borderId="3" xfId="0" applyNumberFormat="1" applyFont="1" applyBorder="1" applyAlignment="1">
      <alignment horizontal="center"/>
    </xf>
    <xf numFmtId="0" fontId="24" fillId="2" borderId="3" xfId="0" applyNumberFormat="1" applyFont="1" applyFill="1" applyBorder="1" applyAlignment="1" applyProtection="1">
      <alignment horizontal="left" vertical="center"/>
    </xf>
    <xf numFmtId="0" fontId="23" fillId="2" borderId="3" xfId="0" applyNumberFormat="1" applyFont="1" applyFill="1" applyBorder="1" applyAlignment="1" applyProtection="1">
      <alignment horizontal="left" vertical="center"/>
    </xf>
    <xf numFmtId="0" fontId="0" fillId="0" borderId="3" xfId="0" applyFont="1" applyBorder="1" applyAlignment="1">
      <alignment horizontal="left"/>
    </xf>
    <xf numFmtId="0" fontId="0" fillId="5" borderId="3" xfId="0" applyFont="1" applyFill="1" applyBorder="1"/>
    <xf numFmtId="0" fontId="0" fillId="5" borderId="3" xfId="0" applyFont="1" applyFill="1" applyBorder="1" applyAlignment="1">
      <alignment horizontal="left"/>
    </xf>
    <xf numFmtId="0" fontId="0" fillId="2" borderId="3" xfId="0" applyFont="1" applyFill="1" applyBorder="1"/>
    <xf numFmtId="0" fontId="0" fillId="2" borderId="3" xfId="0" applyFont="1" applyFill="1" applyBorder="1" applyAlignment="1">
      <alignment horizontal="left"/>
    </xf>
    <xf numFmtId="4" fontId="0" fillId="2" borderId="3" xfId="0" applyNumberFormat="1" applyFont="1" applyFill="1" applyBorder="1" applyAlignment="1">
      <alignment horizontal="center"/>
    </xf>
    <xf numFmtId="0" fontId="0" fillId="10" borderId="3" xfId="0" applyFont="1" applyFill="1" applyBorder="1"/>
    <xf numFmtId="0" fontId="0" fillId="10" borderId="3" xfId="0" applyFont="1" applyFill="1" applyBorder="1" applyAlignment="1">
      <alignment horizontal="left"/>
    </xf>
    <xf numFmtId="4" fontId="0" fillId="13" borderId="3" xfId="0" applyNumberFormat="1" applyFont="1" applyFill="1" applyBorder="1" applyAlignment="1">
      <alignment horizontal="center"/>
    </xf>
    <xf numFmtId="4" fontId="25" fillId="11" borderId="4" xfId="0" applyNumberFormat="1" applyFont="1" applyFill="1" applyBorder="1" applyAlignment="1">
      <alignment horizontal="center"/>
    </xf>
    <xf numFmtId="0" fontId="0" fillId="12" borderId="3" xfId="0" applyFont="1" applyFill="1" applyBorder="1"/>
    <xf numFmtId="0" fontId="0" fillId="12" borderId="3" xfId="0" applyFont="1" applyFill="1" applyBorder="1" applyAlignment="1">
      <alignment horizontal="left"/>
    </xf>
    <xf numFmtId="0" fontId="20" fillId="12" borderId="4" xfId="0" applyNumberFormat="1" applyFont="1" applyFill="1" applyBorder="1" applyAlignment="1" applyProtection="1">
      <alignment horizontal="left" vertical="center" wrapText="1"/>
    </xf>
    <xf numFmtId="4" fontId="0" fillId="12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vertical="center" wrapText="1"/>
    </xf>
    <xf numFmtId="3" fontId="27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0" fillId="7" borderId="4" xfId="0" applyNumberFormat="1" applyFont="1" applyFill="1" applyBorder="1" applyAlignment="1">
      <alignment horizontal="right"/>
    </xf>
    <xf numFmtId="4" fontId="0" fillId="10" borderId="3" xfId="0" applyNumberFormat="1" applyFont="1" applyFill="1" applyBorder="1"/>
    <xf numFmtId="4" fontId="25" fillId="5" borderId="3" xfId="0" applyNumberFormat="1" applyFont="1" applyFill="1" applyBorder="1" applyAlignment="1">
      <alignment horizontal="right"/>
    </xf>
    <xf numFmtId="4" fontId="25" fillId="2" borderId="4" xfId="0" applyNumberFormat="1" applyFont="1" applyFill="1" applyBorder="1" applyAlignment="1">
      <alignment horizontal="right"/>
    </xf>
    <xf numFmtId="4" fontId="25" fillId="9" borderId="4" xfId="0" applyNumberFormat="1" applyFont="1" applyFill="1" applyBorder="1" applyAlignment="1">
      <alignment horizontal="right"/>
    </xf>
    <xf numFmtId="4" fontId="25" fillId="11" borderId="3" xfId="0" applyNumberFormat="1" applyFont="1" applyFill="1" applyBorder="1" applyAlignment="1">
      <alignment horizontal="right"/>
    </xf>
    <xf numFmtId="4" fontId="25" fillId="11" borderId="4" xfId="0" applyNumberFormat="1" applyFont="1" applyFill="1" applyBorder="1" applyAlignment="1">
      <alignment horizontal="right"/>
    </xf>
    <xf numFmtId="0" fontId="24" fillId="6" borderId="3" xfId="0" applyNumberFormat="1" applyFont="1" applyFill="1" applyBorder="1" applyAlignment="1" applyProtection="1">
      <alignment horizontal="left" vertical="center" wrapText="1"/>
    </xf>
    <xf numFmtId="0" fontId="23" fillId="6" borderId="3" xfId="0" quotePrefix="1" applyFont="1" applyFill="1" applyBorder="1" applyAlignment="1">
      <alignment horizontal="left" vertical="center"/>
    </xf>
    <xf numFmtId="0" fontId="29" fillId="6" borderId="3" xfId="0" quotePrefix="1" applyFont="1" applyFill="1" applyBorder="1" applyAlignment="1">
      <alignment horizontal="left" vertical="center"/>
    </xf>
    <xf numFmtId="0" fontId="23" fillId="6" borderId="4" xfId="0" quotePrefix="1" applyFont="1" applyFill="1" applyBorder="1" applyAlignment="1">
      <alignment horizontal="left" vertical="center" wrapText="1"/>
    </xf>
    <xf numFmtId="4" fontId="25" fillId="6" borderId="4" xfId="0" applyNumberFormat="1" applyFont="1" applyFill="1" applyBorder="1" applyAlignment="1">
      <alignment horizontal="right"/>
    </xf>
    <xf numFmtId="0" fontId="23" fillId="6" borderId="3" xfId="0" applyNumberFormat="1" applyFont="1" applyFill="1" applyBorder="1" applyAlignment="1" applyProtection="1">
      <alignment horizontal="left" vertical="center" wrapText="1"/>
    </xf>
    <xf numFmtId="0" fontId="23" fillId="6" borderId="4" xfId="0" quotePrefix="1" applyFont="1" applyFill="1" applyBorder="1" applyAlignment="1">
      <alignment horizontal="left" vertical="center"/>
    </xf>
    <xf numFmtId="4" fontId="20" fillId="6" borderId="4" xfId="0" applyNumberFormat="1" applyFont="1" applyFill="1" applyBorder="1" applyAlignment="1">
      <alignment horizontal="right"/>
    </xf>
    <xf numFmtId="0" fontId="23" fillId="7" borderId="3" xfId="0" applyNumberFormat="1" applyFont="1" applyFill="1" applyBorder="1" applyAlignment="1" applyProtection="1">
      <alignment horizontal="left" vertical="center" wrapText="1"/>
    </xf>
    <xf numFmtId="0" fontId="23" fillId="7" borderId="3" xfId="0" quotePrefix="1" applyFont="1" applyFill="1" applyBorder="1" applyAlignment="1">
      <alignment horizontal="left" vertical="center"/>
    </xf>
    <xf numFmtId="0" fontId="29" fillId="7" borderId="3" xfId="0" quotePrefix="1" applyFont="1" applyFill="1" applyBorder="1" applyAlignment="1">
      <alignment horizontal="left" vertical="center"/>
    </xf>
    <xf numFmtId="4" fontId="20" fillId="7" borderId="3" xfId="0" applyNumberFormat="1" applyFont="1" applyFill="1" applyBorder="1" applyAlignment="1">
      <alignment horizontal="right"/>
    </xf>
    <xf numFmtId="0" fontId="0" fillId="0" borderId="0" xfId="0" applyFont="1" applyBorder="1"/>
    <xf numFmtId="0" fontId="23" fillId="2" borderId="0" xfId="0" applyNumberFormat="1" applyFont="1" applyFill="1" applyBorder="1" applyAlignment="1" applyProtection="1">
      <alignment horizontal="left" vertical="center" wrapText="1"/>
    </xf>
    <xf numFmtId="0" fontId="23" fillId="2" borderId="0" xfId="0" quotePrefix="1" applyFont="1" applyFill="1" applyBorder="1" applyAlignment="1">
      <alignment horizontal="left" vertical="center"/>
    </xf>
    <xf numFmtId="0" fontId="29" fillId="2" borderId="0" xfId="0" quotePrefix="1" applyFont="1" applyFill="1" applyBorder="1" applyAlignment="1">
      <alignment horizontal="left" vertical="center"/>
    </xf>
    <xf numFmtId="4" fontId="20" fillId="2" borderId="0" xfId="0" applyNumberFormat="1" applyFont="1" applyFill="1" applyBorder="1" applyAlignment="1">
      <alignment horizontal="right"/>
    </xf>
    <xf numFmtId="4" fontId="0" fillId="0" borderId="0" xfId="0" applyNumberFormat="1" applyFont="1"/>
    <xf numFmtId="4" fontId="0" fillId="0" borderId="0" xfId="0" applyNumberFormat="1" applyFont="1" applyAlignment="1">
      <alignment horizontal="center"/>
    </xf>
    <xf numFmtId="0" fontId="17" fillId="0" borderId="1" xfId="0" quotePrefix="1" applyNumberFormat="1" applyFont="1" applyFill="1" applyBorder="1" applyAlignment="1" applyProtection="1">
      <alignment horizontal="left" vertical="center" wrapText="1"/>
    </xf>
    <xf numFmtId="0" fontId="18" fillId="0" borderId="2" xfId="0" applyNumberFormat="1" applyFont="1" applyFill="1" applyBorder="1" applyAlignment="1" applyProtection="1">
      <alignment vertical="center" wrapText="1"/>
    </xf>
    <xf numFmtId="0" fontId="11" fillId="4" borderId="1" xfId="0" applyNumberFormat="1" applyFont="1" applyFill="1" applyBorder="1" applyAlignment="1" applyProtection="1">
      <alignment horizontal="left" vertical="center" wrapText="1"/>
    </xf>
    <xf numFmtId="0" fontId="11" fillId="4" borderId="2" xfId="0" applyNumberFormat="1" applyFont="1" applyFill="1" applyBorder="1" applyAlignment="1" applyProtection="1">
      <alignment horizontal="left" vertical="center" wrapText="1"/>
    </xf>
    <xf numFmtId="0" fontId="11" fillId="4" borderId="4" xfId="0" applyNumberFormat="1" applyFont="1" applyFill="1" applyBorder="1" applyAlignment="1" applyProtection="1">
      <alignment horizontal="left"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11" fillId="3" borderId="2" xfId="0" applyNumberFormat="1" applyFont="1" applyFill="1" applyBorder="1" applyAlignment="1" applyProtection="1">
      <alignment horizontal="left" vertical="center" wrapText="1"/>
    </xf>
    <xf numFmtId="0" fontId="11" fillId="3" borderId="4" xfId="0" applyNumberFormat="1" applyFont="1" applyFill="1" applyBorder="1" applyAlignment="1" applyProtection="1">
      <alignment horizontal="left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17" fillId="0" borderId="4" xfId="0" applyNumberFormat="1" applyFont="1" applyFill="1" applyBorder="1" applyAlignment="1" applyProtection="1">
      <alignment horizontal="left" vertical="center" wrapText="1"/>
    </xf>
    <xf numFmtId="0" fontId="17" fillId="3" borderId="1" xfId="0" quotePrefix="1" applyNumberFormat="1" applyFont="1" applyFill="1" applyBorder="1" applyAlignment="1" applyProtection="1">
      <alignment horizontal="left" vertical="center" wrapText="1"/>
    </xf>
    <xf numFmtId="0" fontId="18" fillId="3" borderId="2" xfId="0" applyNumberFormat="1" applyFont="1" applyFill="1" applyBorder="1" applyAlignment="1" applyProtection="1">
      <alignment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17" fillId="3" borderId="1" xfId="0" applyNumberFormat="1" applyFont="1" applyFill="1" applyBorder="1" applyAlignment="1" applyProtection="1">
      <alignment horizontal="left" vertical="center" wrapText="1"/>
    </xf>
    <xf numFmtId="0" fontId="18" fillId="3" borderId="2" xfId="0" applyNumberFormat="1" applyFont="1" applyFill="1" applyBorder="1" applyAlignment="1" applyProtection="1">
      <alignment vertical="center"/>
    </xf>
    <xf numFmtId="0" fontId="18" fillId="0" borderId="2" xfId="0" applyNumberFormat="1" applyFont="1" applyFill="1" applyBorder="1" applyAlignment="1" applyProtection="1">
      <alignment vertical="center"/>
    </xf>
    <xf numFmtId="0" fontId="17" fillId="0" borderId="1" xfId="0" quotePrefix="1" applyFont="1" applyFill="1" applyBorder="1" applyAlignment="1">
      <alignment horizontal="left" vertical="center"/>
    </xf>
    <xf numFmtId="0" fontId="17" fillId="0" borderId="1" xfId="0" quotePrefix="1" applyFont="1" applyBorder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1" fillId="14" borderId="3" xfId="0" applyFont="1" applyFill="1" applyBorder="1" applyAlignment="1">
      <alignment horizontal="center" vertical="center" wrapText="1"/>
    </xf>
    <xf numFmtId="0" fontId="0" fillId="12" borderId="1" xfId="0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0" fillId="12" borderId="4" xfId="0" applyFont="1" applyFill="1" applyBorder="1" applyAlignment="1">
      <alignment horizontal="center"/>
    </xf>
    <xf numFmtId="0" fontId="0" fillId="0" borderId="0" xfId="0" applyFont="1" applyAlignment="1">
      <alignment vertical="center"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25" fillId="0" borderId="0" xfId="0" applyNumberFormat="1" applyFont="1" applyFill="1" applyBorder="1" applyAlignment="1" applyProtection="1">
      <alignment vertical="center" wrapText="1"/>
    </xf>
    <xf numFmtId="0" fontId="0" fillId="0" borderId="0" xfId="0" applyFont="1" applyAlignment="1">
      <alignment wrapText="1"/>
    </xf>
    <xf numFmtId="0" fontId="16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 indent="1"/>
    </xf>
    <xf numFmtId="0" fontId="6" fillId="6" borderId="2" xfId="0" applyNumberFormat="1" applyFont="1" applyFill="1" applyBorder="1" applyAlignment="1" applyProtection="1">
      <alignment horizontal="left" vertical="center" wrapText="1" indent="1"/>
    </xf>
    <xf numFmtId="0" fontId="6" fillId="6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4" xfId="0" applyNumberFormat="1" applyFont="1" applyFill="1" applyBorder="1" applyAlignment="1" applyProtection="1">
      <alignment horizontal="left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</cellXfs>
  <cellStyles count="3">
    <cellStyle name="Normalno" xfId="0" builtinId="0"/>
    <cellStyle name="Normalno 2" xfId="1"/>
    <cellStyle name="Normalno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M23" sqref="M23"/>
    </sheetView>
  </sheetViews>
  <sheetFormatPr defaultRowHeight="15.75" x14ac:dyDescent="0.25"/>
  <cols>
    <col min="1" max="4" width="9.140625" style="84"/>
    <col min="5" max="5" width="25.28515625" style="84" customWidth="1"/>
    <col min="6" max="6" width="21.140625" style="84" customWidth="1"/>
    <col min="7" max="7" width="18.85546875" style="84" customWidth="1"/>
    <col min="8" max="8" width="17" style="84" customWidth="1"/>
    <col min="9" max="16384" width="9.140625" style="84"/>
  </cols>
  <sheetData>
    <row r="1" spans="1:8" ht="42" customHeight="1" x14ac:dyDescent="0.25">
      <c r="A1" s="199" t="s">
        <v>153</v>
      </c>
      <c r="B1" s="199"/>
      <c r="C1" s="199"/>
      <c r="D1" s="199"/>
      <c r="E1" s="199"/>
      <c r="F1" s="199"/>
      <c r="G1" s="199"/>
      <c r="H1" s="199"/>
    </row>
    <row r="2" spans="1:8" ht="18" customHeight="1" x14ac:dyDescent="0.25">
      <c r="A2" s="66"/>
      <c r="B2" s="66"/>
      <c r="C2" s="66"/>
      <c r="D2" s="66"/>
      <c r="E2" s="66"/>
      <c r="F2" s="66"/>
      <c r="G2" s="66"/>
      <c r="H2" s="66"/>
    </row>
    <row r="3" spans="1:8" ht="18" customHeight="1" x14ac:dyDescent="0.25">
      <c r="A3" s="199" t="s">
        <v>38</v>
      </c>
      <c r="B3" s="200"/>
      <c r="C3" s="200"/>
      <c r="D3" s="200"/>
      <c r="E3" s="200"/>
      <c r="F3" s="200"/>
      <c r="G3" s="200"/>
      <c r="H3" s="200"/>
    </row>
    <row r="4" spans="1:8" x14ac:dyDescent="0.25">
      <c r="A4" s="67"/>
      <c r="B4" s="68"/>
      <c r="C4" s="68"/>
      <c r="D4" s="68"/>
      <c r="E4" s="69"/>
      <c r="F4" s="70"/>
      <c r="G4" s="70"/>
      <c r="H4" s="70"/>
    </row>
    <row r="5" spans="1:8" ht="31.5" x14ac:dyDescent="0.25">
      <c r="A5" s="71"/>
      <c r="B5" s="72"/>
      <c r="C5" s="72"/>
      <c r="D5" s="73"/>
      <c r="E5" s="74"/>
      <c r="F5" s="75" t="s">
        <v>156</v>
      </c>
      <c r="G5" s="75" t="s">
        <v>154</v>
      </c>
      <c r="H5" s="75" t="s">
        <v>155</v>
      </c>
    </row>
    <row r="6" spans="1:8" x14ac:dyDescent="0.25">
      <c r="A6" s="201" t="s">
        <v>0</v>
      </c>
      <c r="B6" s="198"/>
      <c r="C6" s="198"/>
      <c r="D6" s="198"/>
      <c r="E6" s="202"/>
      <c r="F6" s="86">
        <f>F7+F8</f>
        <v>278245.40447275864</v>
      </c>
      <c r="G6" s="86">
        <f t="shared" ref="G6:H6" si="0">G7+G8</f>
        <v>558890</v>
      </c>
      <c r="H6" s="86">
        <f t="shared" si="0"/>
        <v>295289.99</v>
      </c>
    </row>
    <row r="7" spans="1:8" x14ac:dyDescent="0.25">
      <c r="A7" s="194" t="s">
        <v>1</v>
      </c>
      <c r="B7" s="187"/>
      <c r="C7" s="187"/>
      <c r="D7" s="187"/>
      <c r="E7" s="203"/>
      <c r="F7" s="87">
        <f>2096440/7.5345</f>
        <v>278245.40447275864</v>
      </c>
      <c r="G7" s="87">
        <v>558890</v>
      </c>
      <c r="H7" s="87">
        <v>295289.99</v>
      </c>
    </row>
    <row r="8" spans="1:8" x14ac:dyDescent="0.25">
      <c r="A8" s="204" t="s">
        <v>2</v>
      </c>
      <c r="B8" s="203"/>
      <c r="C8" s="203"/>
      <c r="D8" s="203"/>
      <c r="E8" s="203"/>
      <c r="F8" s="87"/>
      <c r="G8" s="87"/>
      <c r="H8" s="87"/>
    </row>
    <row r="9" spans="1:8" x14ac:dyDescent="0.25">
      <c r="A9" s="77" t="s">
        <v>3</v>
      </c>
      <c r="B9" s="78"/>
      <c r="C9" s="78"/>
      <c r="D9" s="78"/>
      <c r="E9" s="78"/>
      <c r="F9" s="86">
        <f>F10+F11</f>
        <v>281049.17380051757</v>
      </c>
      <c r="G9" s="86">
        <f t="shared" ref="G9:H9" si="1">G10+G11</f>
        <v>561027</v>
      </c>
      <c r="H9" s="86">
        <f t="shared" si="1"/>
        <v>298386.38</v>
      </c>
    </row>
    <row r="10" spans="1:8" x14ac:dyDescent="0.25">
      <c r="A10" s="186" t="s">
        <v>4</v>
      </c>
      <c r="B10" s="187"/>
      <c r="C10" s="187"/>
      <c r="D10" s="187"/>
      <c r="E10" s="187"/>
      <c r="F10" s="87">
        <f>2116414/7.5345</f>
        <v>280896.40984803234</v>
      </c>
      <c r="G10" s="87">
        <v>556597</v>
      </c>
      <c r="H10" s="87">
        <v>291954.44</v>
      </c>
    </row>
    <row r="11" spans="1:8" x14ac:dyDescent="0.25">
      <c r="A11" s="205" t="s">
        <v>5</v>
      </c>
      <c r="B11" s="203"/>
      <c r="C11" s="203"/>
      <c r="D11" s="203"/>
      <c r="E11" s="203"/>
      <c r="F11" s="88">
        <f>1151/7.5345</f>
        <v>152.76395248523457</v>
      </c>
      <c r="G11" s="88">
        <v>4430</v>
      </c>
      <c r="H11" s="88">
        <v>6431.94</v>
      </c>
    </row>
    <row r="12" spans="1:8" x14ac:dyDescent="0.25">
      <c r="A12" s="197" t="s">
        <v>6</v>
      </c>
      <c r="B12" s="198"/>
      <c r="C12" s="198"/>
      <c r="D12" s="198"/>
      <c r="E12" s="198"/>
      <c r="F12" s="86">
        <f>F6-F9</f>
        <v>-2803.7693277589278</v>
      </c>
      <c r="G12" s="86">
        <f t="shared" ref="G12:H12" si="2">G6-G9</f>
        <v>-2137</v>
      </c>
      <c r="H12" s="86">
        <f t="shared" si="2"/>
        <v>-3096.390000000014</v>
      </c>
    </row>
    <row r="13" spans="1:8" x14ac:dyDescent="0.25">
      <c r="A13" s="66"/>
      <c r="B13" s="80"/>
      <c r="C13" s="80"/>
      <c r="D13" s="80"/>
      <c r="E13" s="80"/>
      <c r="F13" s="80"/>
      <c r="G13" s="80"/>
      <c r="H13" s="81"/>
    </row>
    <row r="14" spans="1:8" ht="18" customHeight="1" x14ac:dyDescent="0.25">
      <c r="A14" s="199" t="s">
        <v>39</v>
      </c>
      <c r="B14" s="200"/>
      <c r="C14" s="200"/>
      <c r="D14" s="200"/>
      <c r="E14" s="200"/>
      <c r="F14" s="200"/>
      <c r="G14" s="200"/>
      <c r="H14" s="200"/>
    </row>
    <row r="15" spans="1:8" x14ac:dyDescent="0.25">
      <c r="A15" s="66"/>
      <c r="B15" s="80"/>
      <c r="C15" s="80"/>
      <c r="D15" s="80"/>
      <c r="E15" s="80"/>
      <c r="F15" s="80"/>
      <c r="G15" s="80"/>
      <c r="H15" s="81"/>
    </row>
    <row r="16" spans="1:8" ht="31.5" x14ac:dyDescent="0.25">
      <c r="A16" s="71"/>
      <c r="B16" s="72"/>
      <c r="C16" s="72"/>
      <c r="D16" s="73"/>
      <c r="E16" s="74"/>
      <c r="F16" s="75" t="s">
        <v>156</v>
      </c>
      <c r="G16" s="75" t="s">
        <v>154</v>
      </c>
      <c r="H16" s="75" t="s">
        <v>155</v>
      </c>
    </row>
    <row r="17" spans="1:8" ht="15.75" customHeight="1" x14ac:dyDescent="0.25">
      <c r="A17" s="194" t="s">
        <v>8</v>
      </c>
      <c r="B17" s="195"/>
      <c r="C17" s="195"/>
      <c r="D17" s="195"/>
      <c r="E17" s="196"/>
      <c r="F17" s="79"/>
      <c r="G17" s="79"/>
      <c r="H17" s="79"/>
    </row>
    <row r="18" spans="1:8" x14ac:dyDescent="0.25">
      <c r="A18" s="194" t="s">
        <v>9</v>
      </c>
      <c r="B18" s="187"/>
      <c r="C18" s="187"/>
      <c r="D18" s="187"/>
      <c r="E18" s="187"/>
      <c r="F18" s="79"/>
      <c r="G18" s="79"/>
      <c r="H18" s="79"/>
    </row>
    <row r="19" spans="1:8" x14ac:dyDescent="0.25">
      <c r="A19" s="197" t="s">
        <v>10</v>
      </c>
      <c r="B19" s="198"/>
      <c r="C19" s="198"/>
      <c r="D19" s="198"/>
      <c r="E19" s="198"/>
      <c r="F19" s="76">
        <v>0</v>
      </c>
      <c r="G19" s="76">
        <v>0</v>
      </c>
      <c r="H19" s="76">
        <v>0</v>
      </c>
    </row>
    <row r="20" spans="1:8" x14ac:dyDescent="0.25">
      <c r="A20" s="82"/>
      <c r="B20" s="80"/>
      <c r="C20" s="80"/>
      <c r="D20" s="80"/>
      <c r="E20" s="80"/>
      <c r="F20" s="80"/>
      <c r="G20" s="80"/>
      <c r="H20" s="81"/>
    </row>
    <row r="21" spans="1:8" ht="18" customHeight="1" x14ac:dyDescent="0.25">
      <c r="A21" s="199" t="s">
        <v>46</v>
      </c>
      <c r="B21" s="200"/>
      <c r="C21" s="200"/>
      <c r="D21" s="200"/>
      <c r="E21" s="200"/>
      <c r="F21" s="200"/>
      <c r="G21" s="200"/>
      <c r="H21" s="200"/>
    </row>
    <row r="22" spans="1:8" x14ac:dyDescent="0.25">
      <c r="A22" s="82"/>
      <c r="B22" s="80"/>
      <c r="C22" s="80"/>
      <c r="D22" s="80"/>
      <c r="E22" s="80"/>
      <c r="F22" s="80"/>
      <c r="G22" s="80"/>
      <c r="H22" s="81"/>
    </row>
    <row r="23" spans="1:8" ht="31.5" x14ac:dyDescent="0.25">
      <c r="A23" s="71"/>
      <c r="B23" s="72"/>
      <c r="C23" s="72"/>
      <c r="D23" s="73"/>
      <c r="E23" s="74"/>
      <c r="F23" s="75" t="s">
        <v>156</v>
      </c>
      <c r="G23" s="75" t="s">
        <v>154</v>
      </c>
      <c r="H23" s="75" t="s">
        <v>155</v>
      </c>
    </row>
    <row r="24" spans="1:8" x14ac:dyDescent="0.25">
      <c r="A24" s="188" t="s">
        <v>40</v>
      </c>
      <c r="B24" s="189"/>
      <c r="C24" s="189"/>
      <c r="D24" s="189"/>
      <c r="E24" s="190"/>
      <c r="F24" s="83">
        <v>0</v>
      </c>
      <c r="G24" s="83">
        <v>0</v>
      </c>
      <c r="H24" s="83">
        <v>0</v>
      </c>
    </row>
    <row r="25" spans="1:8" ht="30" customHeight="1" x14ac:dyDescent="0.25">
      <c r="A25" s="191" t="s">
        <v>7</v>
      </c>
      <c r="B25" s="192"/>
      <c r="C25" s="192"/>
      <c r="D25" s="192"/>
      <c r="E25" s="193"/>
      <c r="F25" s="89">
        <v>2803.77</v>
      </c>
      <c r="G25" s="89">
        <v>2137</v>
      </c>
      <c r="H25" s="89">
        <v>3096.39</v>
      </c>
    </row>
    <row r="28" spans="1:8" x14ac:dyDescent="0.25">
      <c r="A28" s="186" t="s">
        <v>11</v>
      </c>
      <c r="B28" s="187"/>
      <c r="C28" s="187"/>
      <c r="D28" s="187"/>
      <c r="E28" s="187"/>
      <c r="F28" s="79">
        <v>0</v>
      </c>
      <c r="G28" s="79">
        <v>0</v>
      </c>
      <c r="H28" s="79">
        <v>0</v>
      </c>
    </row>
    <row r="29" spans="1:8" ht="11.25" customHeight="1" x14ac:dyDescent="0.25">
      <c r="A29" s="63"/>
      <c r="B29" s="64"/>
      <c r="C29" s="64"/>
      <c r="D29" s="64"/>
      <c r="E29" s="64"/>
      <c r="F29" s="65"/>
      <c r="G29" s="65"/>
      <c r="H29" s="65"/>
    </row>
  </sheetData>
  <mergeCells count="16">
    <mergeCell ref="A1:H1"/>
    <mergeCell ref="A6:E6"/>
    <mergeCell ref="A7:E7"/>
    <mergeCell ref="A8:E8"/>
    <mergeCell ref="A11:E11"/>
    <mergeCell ref="A12:E12"/>
    <mergeCell ref="A10:E10"/>
    <mergeCell ref="A3:H3"/>
    <mergeCell ref="A14:H14"/>
    <mergeCell ref="A21:H21"/>
    <mergeCell ref="A28:E28"/>
    <mergeCell ref="A24:E24"/>
    <mergeCell ref="A25:E25"/>
    <mergeCell ref="A17:E17"/>
    <mergeCell ref="A18:E18"/>
    <mergeCell ref="A19:E19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9"/>
  <sheetViews>
    <sheetView topLeftCell="A107" workbookViewId="0">
      <selection activeCell="D112" sqref="D112"/>
    </sheetView>
  </sheetViews>
  <sheetFormatPr defaultRowHeight="15" x14ac:dyDescent="0.25"/>
  <cols>
    <col min="1" max="1" width="7.42578125" style="7" bestFit="1" customWidth="1"/>
    <col min="2" max="2" width="13.28515625" style="7" customWidth="1"/>
    <col min="3" max="3" width="5.42578125" style="7" bestFit="1" customWidth="1"/>
    <col min="4" max="4" width="29.42578125" style="7" customWidth="1"/>
    <col min="5" max="7" width="18.7109375" style="7" customWidth="1"/>
    <col min="8" max="16384" width="9.140625" style="7"/>
  </cols>
  <sheetData>
    <row r="1" spans="1:17" ht="42" customHeight="1" x14ac:dyDescent="0.25">
      <c r="A1" s="206" t="s">
        <v>153</v>
      </c>
      <c r="B1" s="206"/>
      <c r="C1" s="206"/>
      <c r="D1" s="206"/>
      <c r="E1" s="206"/>
      <c r="F1" s="206"/>
      <c r="G1" s="206"/>
      <c r="H1" s="206"/>
    </row>
    <row r="2" spans="1:17" x14ac:dyDescent="0.25">
      <c r="A2" s="206" t="s">
        <v>29</v>
      </c>
      <c r="B2" s="206"/>
      <c r="C2" s="206"/>
      <c r="D2" s="206"/>
      <c r="E2" s="206"/>
      <c r="F2" s="206"/>
      <c r="G2" s="214"/>
    </row>
    <row r="3" spans="1:17" ht="18" customHeight="1" x14ac:dyDescent="0.25">
      <c r="A3" s="206" t="s">
        <v>13</v>
      </c>
      <c r="B3" s="215"/>
      <c r="C3" s="215"/>
      <c r="D3" s="215"/>
      <c r="E3" s="215"/>
      <c r="F3" s="215"/>
      <c r="G3" s="215"/>
    </row>
    <row r="4" spans="1:17" x14ac:dyDescent="0.25">
      <c r="A4" s="206" t="s">
        <v>1</v>
      </c>
      <c r="B4" s="211"/>
      <c r="C4" s="211"/>
      <c r="D4" s="211"/>
      <c r="E4" s="211"/>
      <c r="F4" s="211"/>
      <c r="G4" s="211"/>
    </row>
    <row r="5" spans="1:17" x14ac:dyDescent="0.25">
      <c r="A5" s="156"/>
      <c r="B5" s="156"/>
      <c r="C5" s="156"/>
      <c r="D5" s="156"/>
      <c r="E5" s="156"/>
      <c r="F5" s="156"/>
      <c r="G5" s="157"/>
    </row>
    <row r="6" spans="1:17" ht="30" x14ac:dyDescent="0.25">
      <c r="A6" s="99" t="s">
        <v>14</v>
      </c>
      <c r="B6" s="100" t="s">
        <v>15</v>
      </c>
      <c r="C6" s="100" t="s">
        <v>16</v>
      </c>
      <c r="D6" s="100" t="s">
        <v>12</v>
      </c>
      <c r="E6" s="99" t="s">
        <v>156</v>
      </c>
      <c r="F6" s="99" t="s">
        <v>41</v>
      </c>
      <c r="G6" s="99" t="s">
        <v>155</v>
      </c>
      <c r="H6" s="99" t="s">
        <v>157</v>
      </c>
      <c r="I6" s="99" t="s">
        <v>157</v>
      </c>
    </row>
    <row r="7" spans="1:17" s="159" customFormat="1" ht="30" x14ac:dyDescent="0.25">
      <c r="A7" s="207">
        <v>1</v>
      </c>
      <c r="B7" s="207"/>
      <c r="C7" s="207"/>
      <c r="D7" s="207"/>
      <c r="E7" s="101">
        <v>2</v>
      </c>
      <c r="F7" s="102">
        <v>3</v>
      </c>
      <c r="G7" s="102">
        <v>4</v>
      </c>
      <c r="H7" s="101" t="s">
        <v>159</v>
      </c>
      <c r="I7" s="103" t="s">
        <v>160</v>
      </c>
      <c r="J7" s="158"/>
      <c r="K7" s="158"/>
      <c r="L7" s="158"/>
      <c r="M7" s="158"/>
      <c r="N7" s="158"/>
      <c r="O7" s="158"/>
      <c r="P7" s="158"/>
      <c r="Q7" s="158"/>
    </row>
    <row r="8" spans="1:17" ht="15.75" customHeight="1" x14ac:dyDescent="0.25">
      <c r="A8" s="104">
        <v>6</v>
      </c>
      <c r="B8" s="104"/>
      <c r="C8" s="104"/>
      <c r="D8" s="105" t="s">
        <v>17</v>
      </c>
      <c r="E8" s="160">
        <f t="shared" ref="E8" si="0">SUM(E9+E25+E34+E47)</f>
        <v>278245.27174995019</v>
      </c>
      <c r="F8" s="160">
        <f t="shared" ref="F8:G8" si="1">SUM(F9+F25+F34+F47)</f>
        <v>558890</v>
      </c>
      <c r="G8" s="160">
        <f t="shared" si="1"/>
        <v>295289.99000000005</v>
      </c>
      <c r="H8" s="85">
        <f>G8/E8*100</f>
        <v>106.12578900006157</v>
      </c>
      <c r="I8" s="85">
        <f>G8/F8*100</f>
        <v>52.83508203761027</v>
      </c>
    </row>
    <row r="9" spans="1:17" ht="45" x14ac:dyDescent="0.25">
      <c r="A9" s="107"/>
      <c r="B9" s="107">
        <v>63</v>
      </c>
      <c r="C9" s="108"/>
      <c r="D9" s="109" t="s">
        <v>42</v>
      </c>
      <c r="E9" s="161">
        <f t="shared" ref="E9" si="2">SUM(E13,E16+E10)</f>
        <v>251212.68830048441</v>
      </c>
      <c r="F9" s="161">
        <f t="shared" ref="F9:G9" si="3">SUM(F13,F16+F10)</f>
        <v>505125</v>
      </c>
      <c r="G9" s="161">
        <f t="shared" si="3"/>
        <v>272339.81</v>
      </c>
      <c r="H9" s="85">
        <f t="shared" ref="H9:H57" si="4">G9/E9*100</f>
        <v>108.41005358544815</v>
      </c>
      <c r="I9" s="85">
        <f t="shared" ref="I9:I57" si="5">G9/F9*100</f>
        <v>53.915329868844339</v>
      </c>
    </row>
    <row r="10" spans="1:17" ht="30" x14ac:dyDescent="0.25">
      <c r="A10" s="111"/>
      <c r="B10" s="112">
        <v>633</v>
      </c>
      <c r="C10" s="112"/>
      <c r="D10" s="113" t="s">
        <v>149</v>
      </c>
      <c r="E10" s="162">
        <f t="shared" ref="E10" si="6">SUM(E11:E12)</f>
        <v>2335.5232596721744</v>
      </c>
      <c r="F10" s="162">
        <f t="shared" ref="F10:G10" si="7">SUM(F11:F12)</f>
        <v>1275</v>
      </c>
      <c r="G10" s="162">
        <f t="shared" si="7"/>
        <v>2200</v>
      </c>
      <c r="H10" s="85">
        <f t="shared" si="4"/>
        <v>94.197306359038478</v>
      </c>
      <c r="I10" s="85">
        <f t="shared" si="5"/>
        <v>172.54901960784315</v>
      </c>
    </row>
    <row r="11" spans="1:17" ht="30" x14ac:dyDescent="0.25">
      <c r="A11" s="115"/>
      <c r="B11" s="115">
        <v>6331</v>
      </c>
      <c r="C11" s="116"/>
      <c r="D11" s="117" t="s">
        <v>150</v>
      </c>
      <c r="E11" s="163">
        <f>17597/7.5345</f>
        <v>2335.5232596721744</v>
      </c>
      <c r="F11" s="163">
        <v>1275</v>
      </c>
      <c r="G11" s="163">
        <v>2200</v>
      </c>
      <c r="H11" s="85">
        <f t="shared" si="4"/>
        <v>94.197306359038478</v>
      </c>
      <c r="I11" s="85">
        <f t="shared" si="5"/>
        <v>172.54901960784315</v>
      </c>
    </row>
    <row r="12" spans="1:17" ht="30" x14ac:dyDescent="0.25">
      <c r="A12" s="115"/>
      <c r="B12" s="115">
        <v>6332</v>
      </c>
      <c r="C12" s="116"/>
      <c r="D12" s="117" t="s">
        <v>151</v>
      </c>
      <c r="E12" s="163"/>
      <c r="F12" s="163"/>
      <c r="G12" s="163"/>
      <c r="H12" s="85"/>
      <c r="I12" s="85"/>
    </row>
    <row r="13" spans="1:17" ht="45" x14ac:dyDescent="0.25">
      <c r="A13" s="111"/>
      <c r="B13" s="112">
        <v>636</v>
      </c>
      <c r="C13" s="112"/>
      <c r="D13" s="113" t="s">
        <v>118</v>
      </c>
      <c r="E13" s="162">
        <f t="shared" ref="E13" si="8">SUM(E14:E15)</f>
        <v>247911.73933240425</v>
      </c>
      <c r="F13" s="162">
        <f t="shared" ref="F13:G13" si="9">SUM(F14:F15)</f>
        <v>502850</v>
      </c>
      <c r="G13" s="162">
        <f t="shared" si="9"/>
        <v>269896.59999999998</v>
      </c>
      <c r="H13" s="85">
        <f>G13/E13*100</f>
        <v>108.86801920990037</v>
      </c>
      <c r="I13" s="85">
        <f t="shared" si="5"/>
        <v>53.673381724172209</v>
      </c>
    </row>
    <row r="14" spans="1:17" ht="45" x14ac:dyDescent="0.25">
      <c r="A14" s="115"/>
      <c r="B14" s="115">
        <v>6361</v>
      </c>
      <c r="C14" s="116"/>
      <c r="D14" s="117" t="s">
        <v>119</v>
      </c>
      <c r="E14" s="163">
        <f>1867891/7.5345</f>
        <v>247911.73933240425</v>
      </c>
      <c r="F14" s="163">
        <v>498900</v>
      </c>
      <c r="G14" s="163">
        <v>269896.59999999998</v>
      </c>
      <c r="H14" s="85">
        <f t="shared" si="4"/>
        <v>108.86801920990037</v>
      </c>
      <c r="I14" s="85">
        <f t="shared" si="5"/>
        <v>54.098336339947885</v>
      </c>
    </row>
    <row r="15" spans="1:17" ht="45" x14ac:dyDescent="0.25">
      <c r="A15" s="115"/>
      <c r="B15" s="115">
        <v>6362</v>
      </c>
      <c r="C15" s="116"/>
      <c r="D15" s="117" t="s">
        <v>120</v>
      </c>
      <c r="E15" s="163"/>
      <c r="F15" s="163">
        <v>3950</v>
      </c>
      <c r="G15" s="163"/>
      <c r="H15" s="85"/>
      <c r="I15" s="85">
        <f t="shared" si="5"/>
        <v>0</v>
      </c>
    </row>
    <row r="16" spans="1:17" ht="30" x14ac:dyDescent="0.25">
      <c r="A16" s="119"/>
      <c r="B16" s="119">
        <v>638</v>
      </c>
      <c r="C16" s="120"/>
      <c r="D16" s="113" t="s">
        <v>121</v>
      </c>
      <c r="E16" s="164">
        <f t="shared" ref="E16" si="10">SUM(E17:E18)</f>
        <v>965.42570840798987</v>
      </c>
      <c r="F16" s="164">
        <f t="shared" ref="F16:G16" si="11">SUM(F17:F18)</f>
        <v>1000</v>
      </c>
      <c r="G16" s="164">
        <f t="shared" si="11"/>
        <v>243.21</v>
      </c>
      <c r="H16" s="85">
        <f t="shared" si="4"/>
        <v>25.191995394555956</v>
      </c>
      <c r="I16" s="85">
        <f t="shared" si="5"/>
        <v>24.321000000000002</v>
      </c>
    </row>
    <row r="17" spans="1:9" ht="30" x14ac:dyDescent="0.25">
      <c r="A17" s="115"/>
      <c r="B17" s="115">
        <v>6381</v>
      </c>
      <c r="C17" s="116"/>
      <c r="D17" s="117" t="s">
        <v>122</v>
      </c>
      <c r="E17" s="163">
        <f>7274/7.5345</f>
        <v>965.42570840798987</v>
      </c>
      <c r="F17" s="163">
        <v>1000</v>
      </c>
      <c r="G17" s="163">
        <v>243.21</v>
      </c>
      <c r="H17" s="85">
        <f t="shared" si="4"/>
        <v>25.191995394555956</v>
      </c>
      <c r="I17" s="85">
        <f t="shared" si="5"/>
        <v>24.321000000000002</v>
      </c>
    </row>
    <row r="18" spans="1:9" ht="30" x14ac:dyDescent="0.25">
      <c r="A18" s="115"/>
      <c r="B18" s="115">
        <v>6382</v>
      </c>
      <c r="C18" s="116"/>
      <c r="D18" s="117" t="s">
        <v>123</v>
      </c>
      <c r="E18" s="163"/>
      <c r="F18" s="163"/>
      <c r="G18" s="163"/>
      <c r="H18" s="85"/>
      <c r="I18" s="85"/>
    </row>
    <row r="19" spans="1:9" x14ac:dyDescent="0.25">
      <c r="A19" s="122"/>
      <c r="B19" s="122"/>
      <c r="C19" s="123">
        <v>11</v>
      </c>
      <c r="D19" s="123" t="s">
        <v>18</v>
      </c>
      <c r="E19" s="165"/>
      <c r="F19" s="165"/>
      <c r="G19" s="165"/>
      <c r="H19" s="85"/>
      <c r="I19" s="85"/>
    </row>
    <row r="20" spans="1:9" x14ac:dyDescent="0.25">
      <c r="A20" s="122"/>
      <c r="B20" s="122"/>
      <c r="C20" s="123">
        <v>31</v>
      </c>
      <c r="D20" s="123" t="s">
        <v>148</v>
      </c>
      <c r="E20" s="165"/>
      <c r="F20" s="165"/>
      <c r="G20" s="165"/>
      <c r="H20" s="85"/>
      <c r="I20" s="85"/>
    </row>
    <row r="21" spans="1:9" x14ac:dyDescent="0.25">
      <c r="A21" s="122"/>
      <c r="B21" s="122"/>
      <c r="C21" s="123">
        <v>44</v>
      </c>
      <c r="D21" s="123" t="s">
        <v>143</v>
      </c>
      <c r="E21" s="165"/>
      <c r="F21" s="165"/>
      <c r="G21" s="165"/>
      <c r="H21" s="85"/>
      <c r="I21" s="85"/>
    </row>
    <row r="22" spans="1:9" x14ac:dyDescent="0.25">
      <c r="A22" s="125"/>
      <c r="B22" s="122"/>
      <c r="C22" s="123">
        <v>51</v>
      </c>
      <c r="D22" s="123" t="s">
        <v>114</v>
      </c>
      <c r="E22" s="166">
        <f t="shared" ref="E22" si="12">E17</f>
        <v>965.42570840798987</v>
      </c>
      <c r="F22" s="166">
        <f t="shared" ref="F22:G22" si="13">F17</f>
        <v>1000</v>
      </c>
      <c r="G22" s="166">
        <f t="shared" si="13"/>
        <v>243.21</v>
      </c>
      <c r="H22" s="85">
        <f>G22/E22*100</f>
        <v>25.191995394555956</v>
      </c>
      <c r="I22" s="85">
        <f>G22/F22*100</f>
        <v>24.321000000000002</v>
      </c>
    </row>
    <row r="23" spans="1:9" x14ac:dyDescent="0.25">
      <c r="A23" s="125"/>
      <c r="B23" s="122"/>
      <c r="C23" s="123">
        <v>43</v>
      </c>
      <c r="D23" s="123" t="s">
        <v>44</v>
      </c>
      <c r="E23" s="165"/>
      <c r="F23" s="165"/>
      <c r="G23" s="165"/>
      <c r="H23" s="85"/>
      <c r="I23" s="85"/>
    </row>
    <row r="24" spans="1:9" ht="15.75" customHeight="1" x14ac:dyDescent="0.25">
      <c r="A24" s="125"/>
      <c r="B24" s="122"/>
      <c r="C24" s="123">
        <v>52</v>
      </c>
      <c r="D24" s="123" t="s">
        <v>43</v>
      </c>
      <c r="E24" s="166">
        <f t="shared" ref="E24" si="14">E10+E13</f>
        <v>250247.26259207641</v>
      </c>
      <c r="F24" s="166">
        <f t="shared" ref="F24:G24" si="15">F10+F13</f>
        <v>504125</v>
      </c>
      <c r="G24" s="166">
        <f t="shared" si="15"/>
        <v>272096.59999999998</v>
      </c>
      <c r="H24" s="85">
        <f t="shared" si="4"/>
        <v>108.73109946602683</v>
      </c>
      <c r="I24" s="85">
        <f t="shared" si="5"/>
        <v>53.974034217703938</v>
      </c>
    </row>
    <row r="25" spans="1:9" ht="53.25" customHeight="1" x14ac:dyDescent="0.25">
      <c r="A25" s="167"/>
      <c r="B25" s="168">
        <v>65</v>
      </c>
      <c r="C25" s="169"/>
      <c r="D25" s="170" t="s">
        <v>125</v>
      </c>
      <c r="E25" s="171">
        <f t="shared" ref="E25:G25" si="16">SUM(E26)</f>
        <v>11693.277589753798</v>
      </c>
      <c r="F25" s="171">
        <f t="shared" si="16"/>
        <v>20035</v>
      </c>
      <c r="G25" s="171">
        <f t="shared" si="16"/>
        <v>5922.9</v>
      </c>
      <c r="H25" s="85">
        <f t="shared" si="4"/>
        <v>50.652179891717651</v>
      </c>
      <c r="I25" s="85">
        <f t="shared" si="5"/>
        <v>29.562765160968301</v>
      </c>
    </row>
    <row r="26" spans="1:9" x14ac:dyDescent="0.25">
      <c r="A26" s="119"/>
      <c r="B26" s="119">
        <v>652</v>
      </c>
      <c r="C26" s="120"/>
      <c r="D26" s="113" t="s">
        <v>124</v>
      </c>
      <c r="E26" s="162">
        <f t="shared" ref="E26:G26" si="17">SUM(E27:E27)</f>
        <v>11693.277589753798</v>
      </c>
      <c r="F26" s="162">
        <f t="shared" si="17"/>
        <v>20035</v>
      </c>
      <c r="G26" s="162">
        <f t="shared" si="17"/>
        <v>5922.9</v>
      </c>
      <c r="H26" s="85">
        <f t="shared" si="4"/>
        <v>50.652179891717651</v>
      </c>
      <c r="I26" s="85">
        <f t="shared" si="5"/>
        <v>29.562765160968301</v>
      </c>
    </row>
    <row r="27" spans="1:9" x14ac:dyDescent="0.25">
      <c r="A27" s="115"/>
      <c r="B27" s="115">
        <v>6526</v>
      </c>
      <c r="C27" s="116"/>
      <c r="D27" s="117" t="s">
        <v>152</v>
      </c>
      <c r="E27" s="163">
        <f>88103/7.5345</f>
        <v>11693.277589753798</v>
      </c>
      <c r="F27" s="163">
        <f>19500+535</f>
        <v>20035</v>
      </c>
      <c r="G27" s="163">
        <v>5922.9</v>
      </c>
      <c r="H27" s="85">
        <f t="shared" si="4"/>
        <v>50.652179891717651</v>
      </c>
      <c r="I27" s="85">
        <f t="shared" si="5"/>
        <v>29.562765160968301</v>
      </c>
    </row>
    <row r="28" spans="1:9" x14ac:dyDescent="0.25">
      <c r="A28" s="122"/>
      <c r="B28" s="122"/>
      <c r="C28" s="123">
        <v>11</v>
      </c>
      <c r="D28" s="123" t="s">
        <v>18</v>
      </c>
      <c r="E28" s="165"/>
      <c r="F28" s="165"/>
      <c r="G28" s="165"/>
      <c r="H28" s="85"/>
      <c r="I28" s="85"/>
    </row>
    <row r="29" spans="1:9" x14ac:dyDescent="0.25">
      <c r="A29" s="122"/>
      <c r="B29" s="122"/>
      <c r="C29" s="123">
        <v>31</v>
      </c>
      <c r="D29" s="123" t="s">
        <v>148</v>
      </c>
      <c r="E29" s="165"/>
      <c r="F29" s="165"/>
      <c r="G29" s="165"/>
      <c r="H29" s="85"/>
      <c r="I29" s="85"/>
    </row>
    <row r="30" spans="1:9" x14ac:dyDescent="0.25">
      <c r="A30" s="122"/>
      <c r="B30" s="122"/>
      <c r="C30" s="123">
        <v>44</v>
      </c>
      <c r="D30" s="123" t="s">
        <v>143</v>
      </c>
      <c r="E30" s="165"/>
      <c r="F30" s="165"/>
      <c r="G30" s="165"/>
      <c r="H30" s="85"/>
      <c r="I30" s="85"/>
    </row>
    <row r="31" spans="1:9" x14ac:dyDescent="0.25">
      <c r="A31" s="125"/>
      <c r="B31" s="122"/>
      <c r="C31" s="123">
        <v>51</v>
      </c>
      <c r="D31" s="123" t="s">
        <v>114</v>
      </c>
      <c r="E31" s="165"/>
      <c r="F31" s="165"/>
      <c r="G31" s="165"/>
      <c r="H31" s="85"/>
      <c r="I31" s="85"/>
    </row>
    <row r="32" spans="1:9" x14ac:dyDescent="0.25">
      <c r="A32" s="125"/>
      <c r="B32" s="122"/>
      <c r="C32" s="123">
        <v>43</v>
      </c>
      <c r="D32" s="123" t="s">
        <v>44</v>
      </c>
      <c r="E32" s="166">
        <f t="shared" ref="E32" si="18">E27</f>
        <v>11693.277589753798</v>
      </c>
      <c r="F32" s="166">
        <f t="shared" ref="F32:G32" si="19">F27</f>
        <v>20035</v>
      </c>
      <c r="G32" s="166">
        <f t="shared" si="19"/>
        <v>5922.9</v>
      </c>
      <c r="H32" s="85">
        <f t="shared" si="4"/>
        <v>50.652179891717651</v>
      </c>
      <c r="I32" s="85">
        <f t="shared" si="5"/>
        <v>29.562765160968301</v>
      </c>
    </row>
    <row r="33" spans="1:9" x14ac:dyDescent="0.25">
      <c r="A33" s="125"/>
      <c r="B33" s="122"/>
      <c r="C33" s="123">
        <v>52</v>
      </c>
      <c r="D33" s="123" t="s">
        <v>43</v>
      </c>
      <c r="E33" s="165"/>
      <c r="F33" s="165"/>
      <c r="G33" s="165"/>
      <c r="H33" s="85"/>
      <c r="I33" s="85"/>
    </row>
    <row r="34" spans="1:9" ht="44.25" customHeight="1" x14ac:dyDescent="0.25">
      <c r="A34" s="107"/>
      <c r="B34" s="107">
        <v>66</v>
      </c>
      <c r="C34" s="108"/>
      <c r="D34" s="109" t="s">
        <v>126</v>
      </c>
      <c r="E34" s="161">
        <f t="shared" ref="E34" si="20">SUM(E35,E38)</f>
        <v>391.53228482314682</v>
      </c>
      <c r="F34" s="161">
        <f t="shared" ref="F34:G34" si="21">SUM(F35,F38)</f>
        <v>730</v>
      </c>
      <c r="G34" s="161">
        <f t="shared" si="21"/>
        <v>2206.2599999999998</v>
      </c>
      <c r="H34" s="85">
        <f t="shared" si="4"/>
        <v>563.49376169491518</v>
      </c>
      <c r="I34" s="85">
        <f t="shared" si="5"/>
        <v>302.22739726027396</v>
      </c>
    </row>
    <row r="35" spans="1:9" ht="38.25" customHeight="1" x14ac:dyDescent="0.25">
      <c r="A35" s="111"/>
      <c r="B35" s="112">
        <v>661</v>
      </c>
      <c r="C35" s="112"/>
      <c r="D35" s="113" t="s">
        <v>127</v>
      </c>
      <c r="E35" s="162">
        <f t="shared" ref="E35" si="22">SUM(E36:E37)</f>
        <v>391.53228482314682</v>
      </c>
      <c r="F35" s="162">
        <f t="shared" ref="F35:G35" si="23">SUM(F36:F37)</f>
        <v>730</v>
      </c>
      <c r="G35" s="162">
        <f t="shared" si="23"/>
        <v>1701.81</v>
      </c>
      <c r="H35" s="85">
        <f t="shared" si="4"/>
        <v>434.65381169491525</v>
      </c>
      <c r="I35" s="85">
        <f t="shared" si="5"/>
        <v>233.12465753424658</v>
      </c>
    </row>
    <row r="36" spans="1:9" ht="15.75" customHeight="1" x14ac:dyDescent="0.25">
      <c r="A36" s="115"/>
      <c r="B36" s="115">
        <v>6614</v>
      </c>
      <c r="C36" s="116"/>
      <c r="D36" s="117" t="s">
        <v>128</v>
      </c>
      <c r="E36" s="163"/>
      <c r="F36" s="163"/>
      <c r="G36" s="163"/>
      <c r="H36" s="85"/>
      <c r="I36" s="85"/>
    </row>
    <row r="37" spans="1:9" x14ac:dyDescent="0.25">
      <c r="A37" s="115"/>
      <c r="B37" s="115">
        <v>6615</v>
      </c>
      <c r="C37" s="116"/>
      <c r="D37" s="117" t="s">
        <v>129</v>
      </c>
      <c r="E37" s="163">
        <f>2950/7.5345</f>
        <v>391.53228482314682</v>
      </c>
      <c r="F37" s="163">
        <v>730</v>
      </c>
      <c r="G37" s="163">
        <f>1698.6+3.21</f>
        <v>1701.81</v>
      </c>
      <c r="H37" s="85">
        <f t="shared" si="4"/>
        <v>434.65381169491525</v>
      </c>
      <c r="I37" s="85">
        <f t="shared" si="5"/>
        <v>233.12465753424658</v>
      </c>
    </row>
    <row r="38" spans="1:9" ht="30" x14ac:dyDescent="0.25">
      <c r="A38" s="119"/>
      <c r="B38" s="119">
        <v>663</v>
      </c>
      <c r="C38" s="120"/>
      <c r="D38" s="113" t="s">
        <v>130</v>
      </c>
      <c r="E38" s="164">
        <f t="shared" ref="E38" si="24">SUM(E39:E40)</f>
        <v>0</v>
      </c>
      <c r="F38" s="164">
        <f t="shared" ref="F38:G38" si="25">SUM(F39:F40)</f>
        <v>0</v>
      </c>
      <c r="G38" s="164">
        <f t="shared" si="25"/>
        <v>504.45</v>
      </c>
      <c r="H38" s="85"/>
      <c r="I38" s="85"/>
    </row>
    <row r="39" spans="1:9" x14ac:dyDescent="0.25">
      <c r="A39" s="115"/>
      <c r="B39" s="115">
        <v>6631</v>
      </c>
      <c r="C39" s="116"/>
      <c r="D39" s="117" t="s">
        <v>131</v>
      </c>
      <c r="E39" s="163"/>
      <c r="F39" s="163"/>
      <c r="G39" s="163">
        <v>504.45</v>
      </c>
      <c r="H39" s="85"/>
      <c r="I39" s="85"/>
    </row>
    <row r="40" spans="1:9" x14ac:dyDescent="0.25">
      <c r="A40" s="115"/>
      <c r="B40" s="115">
        <v>6632</v>
      </c>
      <c r="C40" s="116"/>
      <c r="D40" s="117" t="s">
        <v>132</v>
      </c>
      <c r="E40" s="163"/>
      <c r="F40" s="163"/>
      <c r="G40" s="163"/>
      <c r="H40" s="85"/>
      <c r="I40" s="85"/>
    </row>
    <row r="41" spans="1:9" x14ac:dyDescent="0.25">
      <c r="A41" s="122"/>
      <c r="B41" s="122"/>
      <c r="C41" s="123">
        <v>11</v>
      </c>
      <c r="D41" s="123" t="s">
        <v>18</v>
      </c>
      <c r="E41" s="165"/>
      <c r="F41" s="165"/>
      <c r="G41" s="165"/>
      <c r="H41" s="85"/>
      <c r="I41" s="85"/>
    </row>
    <row r="42" spans="1:9" x14ac:dyDescent="0.25">
      <c r="A42" s="122"/>
      <c r="B42" s="122"/>
      <c r="C42" s="123">
        <v>31</v>
      </c>
      <c r="D42" s="123" t="s">
        <v>148</v>
      </c>
      <c r="E42" s="166">
        <f t="shared" ref="E42" si="26">E37</f>
        <v>391.53228482314682</v>
      </c>
      <c r="F42" s="166">
        <f t="shared" ref="F42:G42" si="27">F37</f>
        <v>730</v>
      </c>
      <c r="G42" s="166">
        <f t="shared" si="27"/>
        <v>1701.81</v>
      </c>
      <c r="H42" s="85">
        <f t="shared" si="4"/>
        <v>434.65381169491525</v>
      </c>
      <c r="I42" s="85">
        <f t="shared" si="5"/>
        <v>233.12465753424658</v>
      </c>
    </row>
    <row r="43" spans="1:9" x14ac:dyDescent="0.25">
      <c r="A43" s="122"/>
      <c r="B43" s="122"/>
      <c r="C43" s="123">
        <v>44</v>
      </c>
      <c r="D43" s="123" t="s">
        <v>143</v>
      </c>
      <c r="E43" s="165"/>
      <c r="F43" s="165"/>
      <c r="G43" s="165"/>
      <c r="H43" s="85"/>
      <c r="I43" s="85"/>
    </row>
    <row r="44" spans="1:9" x14ac:dyDescent="0.25">
      <c r="A44" s="125"/>
      <c r="B44" s="122"/>
      <c r="C44" s="123">
        <v>51</v>
      </c>
      <c r="D44" s="123" t="s">
        <v>114</v>
      </c>
      <c r="E44" s="165"/>
      <c r="F44" s="165"/>
      <c r="G44" s="165"/>
      <c r="H44" s="85"/>
      <c r="I44" s="85"/>
    </row>
    <row r="45" spans="1:9" x14ac:dyDescent="0.25">
      <c r="A45" s="125"/>
      <c r="B45" s="122"/>
      <c r="C45" s="123">
        <v>43</v>
      </c>
      <c r="D45" s="123" t="s">
        <v>44</v>
      </c>
      <c r="E45" s="165"/>
      <c r="F45" s="165"/>
      <c r="G45" s="165"/>
      <c r="H45" s="85"/>
      <c r="I45" s="85"/>
    </row>
    <row r="46" spans="1:9" x14ac:dyDescent="0.25">
      <c r="A46" s="125"/>
      <c r="B46" s="122"/>
      <c r="C46" s="123">
        <v>52</v>
      </c>
      <c r="D46" s="123" t="s">
        <v>43</v>
      </c>
      <c r="E46" s="165"/>
      <c r="F46" s="165"/>
      <c r="G46" s="165"/>
      <c r="H46" s="85"/>
      <c r="I46" s="85"/>
    </row>
    <row r="47" spans="1:9" ht="24.75" customHeight="1" x14ac:dyDescent="0.25">
      <c r="A47" s="172"/>
      <c r="B47" s="168">
        <v>67</v>
      </c>
      <c r="C47" s="169"/>
      <c r="D47" s="173" t="s">
        <v>133</v>
      </c>
      <c r="E47" s="174">
        <f t="shared" ref="E47:G47" si="28">SUM(E48)</f>
        <v>14947.773574888844</v>
      </c>
      <c r="F47" s="174">
        <f t="shared" si="28"/>
        <v>33000</v>
      </c>
      <c r="G47" s="174">
        <f t="shared" si="28"/>
        <v>14821.02</v>
      </c>
      <c r="H47" s="85">
        <f t="shared" si="4"/>
        <v>99.152023716081843</v>
      </c>
      <c r="I47" s="85">
        <f t="shared" si="5"/>
        <v>44.912181818181821</v>
      </c>
    </row>
    <row r="48" spans="1:9" ht="60" x14ac:dyDescent="0.25">
      <c r="A48" s="119"/>
      <c r="B48" s="119">
        <v>671</v>
      </c>
      <c r="C48" s="120"/>
      <c r="D48" s="113" t="s">
        <v>134</v>
      </c>
      <c r="E48" s="162">
        <f t="shared" ref="E48" si="29">SUM(E49:E50)</f>
        <v>14947.773574888844</v>
      </c>
      <c r="F48" s="162">
        <f t="shared" ref="F48:G48" si="30">SUM(F49:F50)</f>
        <v>33000</v>
      </c>
      <c r="G48" s="162">
        <f t="shared" si="30"/>
        <v>14821.02</v>
      </c>
      <c r="H48" s="85">
        <f t="shared" si="4"/>
        <v>99.152023716081843</v>
      </c>
      <c r="I48" s="85">
        <f t="shared" si="5"/>
        <v>44.912181818181821</v>
      </c>
    </row>
    <row r="49" spans="1:17" ht="45" x14ac:dyDescent="0.25">
      <c r="A49" s="115"/>
      <c r="B49" s="115">
        <v>6711</v>
      </c>
      <c r="C49" s="116"/>
      <c r="D49" s="117" t="s">
        <v>135</v>
      </c>
      <c r="E49" s="163">
        <f>(4800+107824)/7.5345</f>
        <v>14947.773574888844</v>
      </c>
      <c r="F49" s="163">
        <v>33000</v>
      </c>
      <c r="G49" s="163">
        <v>14821.02</v>
      </c>
      <c r="H49" s="85">
        <f t="shared" si="4"/>
        <v>99.152023716081843</v>
      </c>
      <c r="I49" s="85">
        <f t="shared" si="5"/>
        <v>44.912181818181821</v>
      </c>
    </row>
    <row r="50" spans="1:17" ht="45" x14ac:dyDescent="0.25">
      <c r="A50" s="115"/>
      <c r="B50" s="115">
        <v>6712</v>
      </c>
      <c r="C50" s="116"/>
      <c r="D50" s="117" t="s">
        <v>136</v>
      </c>
      <c r="E50" s="163"/>
      <c r="F50" s="163"/>
      <c r="G50" s="163"/>
      <c r="H50" s="85"/>
      <c r="I50" s="85"/>
    </row>
    <row r="51" spans="1:17" x14ac:dyDescent="0.25">
      <c r="A51" s="122"/>
      <c r="B51" s="122"/>
      <c r="C51" s="123">
        <v>11</v>
      </c>
      <c r="D51" s="123" t="s">
        <v>18</v>
      </c>
      <c r="E51" s="165"/>
      <c r="F51" s="165"/>
      <c r="G51" s="165"/>
      <c r="H51" s="85"/>
      <c r="I51" s="85"/>
    </row>
    <row r="52" spans="1:17" x14ac:dyDescent="0.25">
      <c r="A52" s="122"/>
      <c r="B52" s="122"/>
      <c r="C52" s="123">
        <v>31</v>
      </c>
      <c r="D52" s="123" t="s">
        <v>148</v>
      </c>
      <c r="E52" s="165"/>
      <c r="F52" s="165"/>
      <c r="G52" s="165"/>
      <c r="H52" s="85"/>
      <c r="I52" s="85"/>
    </row>
    <row r="53" spans="1:17" x14ac:dyDescent="0.25">
      <c r="A53" s="122"/>
      <c r="B53" s="122"/>
      <c r="C53" s="123">
        <v>44</v>
      </c>
      <c r="D53" s="123" t="s">
        <v>143</v>
      </c>
      <c r="E53" s="166">
        <f t="shared" ref="E53" si="31">E49</f>
        <v>14947.773574888844</v>
      </c>
      <c r="F53" s="166">
        <f t="shared" ref="F53:G53" si="32">F49</f>
        <v>33000</v>
      </c>
      <c r="G53" s="166">
        <f t="shared" si="32"/>
        <v>14821.02</v>
      </c>
      <c r="H53" s="85">
        <f t="shared" si="4"/>
        <v>99.152023716081843</v>
      </c>
      <c r="I53" s="85">
        <f t="shared" si="5"/>
        <v>44.912181818181821</v>
      </c>
    </row>
    <row r="54" spans="1:17" x14ac:dyDescent="0.25">
      <c r="A54" s="125"/>
      <c r="B54" s="122"/>
      <c r="C54" s="123">
        <v>51</v>
      </c>
      <c r="D54" s="123" t="s">
        <v>114</v>
      </c>
      <c r="E54" s="165"/>
      <c r="F54" s="165"/>
      <c r="G54" s="165"/>
      <c r="H54" s="85"/>
      <c r="I54" s="85"/>
    </row>
    <row r="55" spans="1:17" x14ac:dyDescent="0.25">
      <c r="A55" s="125"/>
      <c r="B55" s="122"/>
      <c r="C55" s="123">
        <v>43</v>
      </c>
      <c r="D55" s="123" t="s">
        <v>44</v>
      </c>
      <c r="E55" s="165"/>
      <c r="F55" s="165"/>
      <c r="G55" s="165"/>
      <c r="H55" s="85"/>
      <c r="I55" s="85"/>
    </row>
    <row r="56" spans="1:17" x14ac:dyDescent="0.25">
      <c r="A56" s="125"/>
      <c r="B56" s="122"/>
      <c r="C56" s="123">
        <v>52</v>
      </c>
      <c r="D56" s="123" t="s">
        <v>43</v>
      </c>
      <c r="E56" s="165"/>
      <c r="F56" s="165"/>
      <c r="G56" s="165"/>
      <c r="H56" s="85"/>
      <c r="I56" s="85"/>
    </row>
    <row r="57" spans="1:17" s="179" customFormat="1" x14ac:dyDescent="0.25">
      <c r="A57" s="175"/>
      <c r="B57" s="176" t="s">
        <v>137</v>
      </c>
      <c r="C57" s="177"/>
      <c r="D57" s="177"/>
      <c r="E57" s="178">
        <f t="shared" ref="E57" si="33">SUM(E9+E25+E34+E47)</f>
        <v>278245.27174995019</v>
      </c>
      <c r="F57" s="178">
        <f t="shared" ref="F57" si="34">SUM(F9+F25+F34+F47)</f>
        <v>558890</v>
      </c>
      <c r="G57" s="178">
        <f>SUM(G9+G25+G34+G47)</f>
        <v>295289.99000000005</v>
      </c>
      <c r="H57" s="85">
        <f t="shared" si="4"/>
        <v>106.12578900006157</v>
      </c>
      <c r="I57" s="85">
        <f t="shared" si="5"/>
        <v>52.83508203761027</v>
      </c>
    </row>
    <row r="58" spans="1:17" s="179" customFormat="1" x14ac:dyDescent="0.25">
      <c r="A58" s="180"/>
      <c r="B58" s="181"/>
      <c r="C58" s="182"/>
      <c r="D58" s="182"/>
      <c r="E58" s="183"/>
      <c r="F58" s="183"/>
      <c r="G58" s="183"/>
    </row>
    <row r="60" spans="1:17" ht="11.25" customHeight="1" x14ac:dyDescent="0.25">
      <c r="A60" s="212" t="s">
        <v>19</v>
      </c>
      <c r="B60" s="213"/>
      <c r="C60" s="213"/>
      <c r="D60" s="213"/>
      <c r="E60" s="213"/>
      <c r="F60" s="213"/>
      <c r="G60" s="213"/>
    </row>
    <row r="61" spans="1:17" hidden="1" x14ac:dyDescent="0.25">
      <c r="A61" s="156"/>
      <c r="B61" s="156"/>
      <c r="C61" s="156"/>
      <c r="D61" s="156"/>
      <c r="E61" s="156"/>
      <c r="F61" s="156"/>
      <c r="G61" s="157"/>
    </row>
    <row r="62" spans="1:17" ht="30" x14ac:dyDescent="0.25">
      <c r="A62" s="99" t="s">
        <v>14</v>
      </c>
      <c r="B62" s="100" t="s">
        <v>15</v>
      </c>
      <c r="C62" s="100" t="s">
        <v>16</v>
      </c>
      <c r="D62" s="100" t="s">
        <v>12</v>
      </c>
      <c r="E62" s="99" t="s">
        <v>156</v>
      </c>
      <c r="F62" s="99" t="s">
        <v>41</v>
      </c>
      <c r="G62" s="99" t="s">
        <v>155</v>
      </c>
      <c r="H62" s="99" t="s">
        <v>157</v>
      </c>
      <c r="I62" s="99" t="s">
        <v>157</v>
      </c>
    </row>
    <row r="63" spans="1:17" s="159" customFormat="1" ht="30" x14ac:dyDescent="0.25">
      <c r="A63" s="207">
        <v>1</v>
      </c>
      <c r="B63" s="207"/>
      <c r="C63" s="207"/>
      <c r="D63" s="207"/>
      <c r="E63" s="101">
        <v>2</v>
      </c>
      <c r="F63" s="102">
        <v>3</v>
      </c>
      <c r="G63" s="102">
        <v>4</v>
      </c>
      <c r="H63" s="101" t="s">
        <v>159</v>
      </c>
      <c r="I63" s="103" t="s">
        <v>160</v>
      </c>
      <c r="J63" s="158"/>
      <c r="K63" s="158"/>
      <c r="L63" s="158"/>
      <c r="M63" s="158"/>
      <c r="N63" s="158"/>
      <c r="O63" s="158"/>
      <c r="P63" s="158"/>
      <c r="Q63" s="158"/>
    </row>
    <row r="64" spans="1:17" x14ac:dyDescent="0.25">
      <c r="A64" s="104">
        <v>3</v>
      </c>
      <c r="B64" s="104"/>
      <c r="C64" s="104"/>
      <c r="D64" s="105" t="s">
        <v>20</v>
      </c>
      <c r="E64" s="106">
        <f>SUM(E65+E81+E121+E131)</f>
        <v>280896.34012542304</v>
      </c>
      <c r="F64" s="106">
        <f>SUM(F65+F81+F121+F131)</f>
        <v>556598</v>
      </c>
      <c r="G64" s="106">
        <f t="shared" ref="G64" si="35">SUM(G65+G81+G121+G131)</f>
        <v>291954.44</v>
      </c>
      <c r="H64" s="85">
        <f>G64/E64*100</f>
        <v>103.93671910059041</v>
      </c>
      <c r="I64" s="85">
        <f>G64/F64*100</f>
        <v>52.453375685863044</v>
      </c>
    </row>
    <row r="65" spans="1:9" x14ac:dyDescent="0.25">
      <c r="A65" s="107"/>
      <c r="B65" s="108">
        <v>31</v>
      </c>
      <c r="C65" s="108"/>
      <c r="D65" s="109" t="s">
        <v>21</v>
      </c>
      <c r="E65" s="110">
        <f t="shared" ref="E65" si="36">SUM(E66,E70,E72)</f>
        <v>230549.20318800188</v>
      </c>
      <c r="F65" s="110">
        <f t="shared" ref="F65:G65" si="37">SUM(F66,F70,F72)</f>
        <v>462775</v>
      </c>
      <c r="G65" s="110">
        <f t="shared" si="37"/>
        <v>247523.16</v>
      </c>
      <c r="H65" s="85">
        <f t="shared" ref="H65:H127" si="38">G65/E65*100</f>
        <v>107.36240098741816</v>
      </c>
      <c r="I65" s="85">
        <f t="shared" ref="I65:I127" si="39">G65/F65*100</f>
        <v>53.486718167576043</v>
      </c>
    </row>
    <row r="66" spans="1:9" x14ac:dyDescent="0.25">
      <c r="A66" s="111"/>
      <c r="B66" s="112">
        <v>311</v>
      </c>
      <c r="C66" s="112"/>
      <c r="D66" s="113" t="s">
        <v>48</v>
      </c>
      <c r="E66" s="114">
        <f t="shared" ref="E66" si="40">SUM(E67:E69)</f>
        <v>193526.84318800186</v>
      </c>
      <c r="F66" s="114">
        <f t="shared" ref="F66:G66" si="41">SUM(F67:F69)</f>
        <v>386094</v>
      </c>
      <c r="G66" s="114">
        <f t="shared" si="41"/>
        <v>204946.2</v>
      </c>
      <c r="H66" s="85">
        <f t="shared" si="38"/>
        <v>105.90065782290719</v>
      </c>
      <c r="I66" s="85">
        <f t="shared" si="39"/>
        <v>53.081943775350048</v>
      </c>
    </row>
    <row r="67" spans="1:9" x14ac:dyDescent="0.25">
      <c r="A67" s="115"/>
      <c r="B67" s="115">
        <v>3111</v>
      </c>
      <c r="C67" s="116"/>
      <c r="D67" s="117" t="s">
        <v>60</v>
      </c>
      <c r="E67" s="118">
        <f>(4120+1454008)/7.5345</f>
        <v>193526.84318800186</v>
      </c>
      <c r="F67" s="118">
        <f>1094+385000</f>
        <v>386094</v>
      </c>
      <c r="G67" s="118">
        <v>204946.2</v>
      </c>
      <c r="H67" s="85">
        <f t="shared" si="38"/>
        <v>105.90065782290719</v>
      </c>
      <c r="I67" s="85">
        <f t="shared" si="39"/>
        <v>53.081943775350048</v>
      </c>
    </row>
    <row r="68" spans="1:9" x14ac:dyDescent="0.25">
      <c r="A68" s="115"/>
      <c r="B68" s="115">
        <v>3113</v>
      </c>
      <c r="C68" s="116"/>
      <c r="D68" s="117" t="s">
        <v>61</v>
      </c>
      <c r="E68" s="118"/>
      <c r="F68" s="118"/>
      <c r="G68" s="118"/>
      <c r="H68" s="85"/>
      <c r="I68" s="85"/>
    </row>
    <row r="69" spans="1:9" x14ac:dyDescent="0.25">
      <c r="A69" s="115"/>
      <c r="B69" s="115">
        <v>3114</v>
      </c>
      <c r="C69" s="116"/>
      <c r="D69" s="117" t="s">
        <v>62</v>
      </c>
      <c r="E69" s="118"/>
      <c r="F69" s="118"/>
      <c r="G69" s="118"/>
      <c r="H69" s="85"/>
      <c r="I69" s="85"/>
    </row>
    <row r="70" spans="1:9" x14ac:dyDescent="0.25">
      <c r="A70" s="119"/>
      <c r="B70" s="119">
        <v>312</v>
      </c>
      <c r="C70" s="120"/>
      <c r="D70" s="113" t="s">
        <v>63</v>
      </c>
      <c r="E70" s="121">
        <f t="shared" ref="E70:G70" si="42">E71</f>
        <v>5043.47</v>
      </c>
      <c r="F70" s="121">
        <f t="shared" si="42"/>
        <v>15500</v>
      </c>
      <c r="G70" s="121">
        <f t="shared" si="42"/>
        <v>8760.8700000000008</v>
      </c>
      <c r="H70" s="85">
        <f t="shared" si="38"/>
        <v>173.70718969281072</v>
      </c>
      <c r="I70" s="85">
        <f t="shared" si="39"/>
        <v>56.521741935483874</v>
      </c>
    </row>
    <row r="71" spans="1:9" x14ac:dyDescent="0.25">
      <c r="A71" s="115"/>
      <c r="B71" s="115">
        <v>3121</v>
      </c>
      <c r="C71" s="116"/>
      <c r="D71" s="117" t="s">
        <v>64</v>
      </c>
      <c r="E71" s="118">
        <v>5043.47</v>
      </c>
      <c r="F71" s="118">
        <v>15500</v>
      </c>
      <c r="G71" s="118">
        <v>8760.8700000000008</v>
      </c>
      <c r="H71" s="85">
        <f t="shared" si="38"/>
        <v>173.70718969281072</v>
      </c>
      <c r="I71" s="85">
        <f t="shared" si="39"/>
        <v>56.521741935483874</v>
      </c>
    </row>
    <row r="72" spans="1:9" x14ac:dyDescent="0.25">
      <c r="A72" s="119"/>
      <c r="B72" s="119">
        <v>313</v>
      </c>
      <c r="C72" s="120"/>
      <c r="D72" s="113" t="s">
        <v>49</v>
      </c>
      <c r="E72" s="114">
        <f t="shared" ref="E72" si="43">SUM(E73:E74)</f>
        <v>31978.89</v>
      </c>
      <c r="F72" s="114">
        <f t="shared" ref="F72:G72" si="44">SUM(F73:F74)</f>
        <v>61181</v>
      </c>
      <c r="G72" s="114">
        <f t="shared" si="44"/>
        <v>33816.089999999997</v>
      </c>
      <c r="H72" s="85">
        <f t="shared" si="38"/>
        <v>105.74503993102948</v>
      </c>
      <c r="I72" s="85">
        <f t="shared" si="39"/>
        <v>55.272208692241051</v>
      </c>
    </row>
    <row r="73" spans="1:9" ht="30" x14ac:dyDescent="0.25">
      <c r="A73" s="115"/>
      <c r="B73" s="115">
        <v>3131</v>
      </c>
      <c r="C73" s="116"/>
      <c r="D73" s="117" t="s">
        <v>65</v>
      </c>
      <c r="E73" s="118"/>
      <c r="F73" s="118"/>
      <c r="G73" s="118"/>
      <c r="H73" s="85"/>
      <c r="I73" s="85"/>
    </row>
    <row r="74" spans="1:9" ht="30" x14ac:dyDescent="0.25">
      <c r="A74" s="115"/>
      <c r="B74" s="115">
        <v>3132</v>
      </c>
      <c r="C74" s="116"/>
      <c r="D74" s="117" t="s">
        <v>66</v>
      </c>
      <c r="E74" s="118">
        <v>31978.89</v>
      </c>
      <c r="F74" s="118">
        <v>61181</v>
      </c>
      <c r="G74" s="118">
        <v>33816.089999999997</v>
      </c>
      <c r="H74" s="85">
        <f t="shared" si="38"/>
        <v>105.74503993102948</v>
      </c>
      <c r="I74" s="85">
        <f t="shared" si="39"/>
        <v>55.272208692241051</v>
      </c>
    </row>
    <row r="75" spans="1:9" x14ac:dyDescent="0.25">
      <c r="A75" s="122"/>
      <c r="B75" s="122"/>
      <c r="C75" s="123">
        <v>11</v>
      </c>
      <c r="D75" s="123" t="s">
        <v>18</v>
      </c>
      <c r="E75" s="124">
        <v>637.08000000000004</v>
      </c>
      <c r="F75" s="124">
        <v>1275</v>
      </c>
      <c r="G75" s="124">
        <v>530.9</v>
      </c>
      <c r="H75" s="85">
        <f t="shared" si="38"/>
        <v>83.333333333333329</v>
      </c>
      <c r="I75" s="85">
        <f t="shared" si="39"/>
        <v>41.639215686274504</v>
      </c>
    </row>
    <row r="76" spans="1:9" x14ac:dyDescent="0.25">
      <c r="A76" s="122"/>
      <c r="B76" s="122"/>
      <c r="C76" s="123">
        <v>31</v>
      </c>
      <c r="D76" s="123" t="s">
        <v>148</v>
      </c>
      <c r="E76" s="124"/>
      <c r="F76" s="124"/>
      <c r="G76" s="124"/>
      <c r="H76" s="85"/>
      <c r="I76" s="85"/>
    </row>
    <row r="77" spans="1:9" x14ac:dyDescent="0.25">
      <c r="A77" s="122"/>
      <c r="B77" s="122"/>
      <c r="C77" s="123">
        <v>44</v>
      </c>
      <c r="D77" s="123" t="s">
        <v>143</v>
      </c>
      <c r="E77" s="124"/>
      <c r="F77" s="124"/>
      <c r="G77" s="124"/>
      <c r="H77" s="85"/>
      <c r="I77" s="85"/>
    </row>
    <row r="78" spans="1:9" x14ac:dyDescent="0.25">
      <c r="A78" s="125"/>
      <c r="B78" s="122"/>
      <c r="C78" s="123">
        <v>51</v>
      </c>
      <c r="D78" s="123" t="s">
        <v>114</v>
      </c>
      <c r="E78" s="124"/>
      <c r="F78" s="124"/>
      <c r="G78" s="124"/>
      <c r="H78" s="85"/>
      <c r="I78" s="85"/>
    </row>
    <row r="79" spans="1:9" x14ac:dyDescent="0.25">
      <c r="A79" s="125"/>
      <c r="B79" s="122"/>
      <c r="C79" s="123">
        <v>43</v>
      </c>
      <c r="D79" s="123" t="s">
        <v>44</v>
      </c>
      <c r="E79" s="124"/>
      <c r="F79" s="124"/>
      <c r="G79" s="124"/>
      <c r="H79" s="85"/>
      <c r="I79" s="85"/>
    </row>
    <row r="80" spans="1:9" x14ac:dyDescent="0.25">
      <c r="A80" s="125"/>
      <c r="B80" s="122"/>
      <c r="C80" s="123">
        <v>52</v>
      </c>
      <c r="D80" s="123" t="s">
        <v>43</v>
      </c>
      <c r="E80" s="124">
        <v>229912.12</v>
      </c>
      <c r="F80" s="124">
        <v>461500</v>
      </c>
      <c r="G80" s="124">
        <v>246992.26</v>
      </c>
      <c r="H80" s="85">
        <f t="shared" si="38"/>
        <v>107.42898634486953</v>
      </c>
      <c r="I80" s="85">
        <f t="shared" si="39"/>
        <v>53.519449620801737</v>
      </c>
    </row>
    <row r="81" spans="1:9" x14ac:dyDescent="0.25">
      <c r="A81" s="126"/>
      <c r="B81" s="127">
        <v>32</v>
      </c>
      <c r="C81" s="128"/>
      <c r="D81" s="109" t="s">
        <v>32</v>
      </c>
      <c r="E81" s="110">
        <f>SUM(E82,E87,E95,E105,E107)</f>
        <v>47589.795375273738</v>
      </c>
      <c r="F81" s="110">
        <f t="shared" ref="F81:G81" si="45">SUM(F82,F87,F95,F105,F107)</f>
        <v>89413</v>
      </c>
      <c r="G81" s="110">
        <f t="shared" si="45"/>
        <v>44262.16</v>
      </c>
      <c r="H81" s="85">
        <f t="shared" si="38"/>
        <v>93.007670343960598</v>
      </c>
      <c r="I81" s="85">
        <f t="shared" si="39"/>
        <v>49.503047655262662</v>
      </c>
    </row>
    <row r="82" spans="1:9" x14ac:dyDescent="0.25">
      <c r="A82" s="129"/>
      <c r="B82" s="130">
        <v>321</v>
      </c>
      <c r="C82" s="131"/>
      <c r="D82" s="113" t="s">
        <v>50</v>
      </c>
      <c r="E82" s="114">
        <f t="shared" ref="E82" si="46">SUM(E83:E86)</f>
        <v>12146.194605481453</v>
      </c>
      <c r="F82" s="114">
        <f t="shared" ref="F82:G82" si="47">SUM(F83:F86)</f>
        <v>21750</v>
      </c>
      <c r="G82" s="114">
        <f t="shared" si="47"/>
        <v>11246.08</v>
      </c>
      <c r="H82" s="85">
        <f t="shared" si="38"/>
        <v>92.589328306371442</v>
      </c>
      <c r="I82" s="85">
        <f t="shared" si="39"/>
        <v>51.706114942528735</v>
      </c>
    </row>
    <row r="83" spans="1:9" x14ac:dyDescent="0.25">
      <c r="A83" s="132"/>
      <c r="B83" s="133">
        <v>3211</v>
      </c>
      <c r="C83" s="116"/>
      <c r="D83" s="117" t="s">
        <v>67</v>
      </c>
      <c r="E83" s="118">
        <v>958.79</v>
      </c>
      <c r="F83" s="118">
        <v>1530</v>
      </c>
      <c r="G83" s="118">
        <v>1322.43</v>
      </c>
      <c r="H83" s="85">
        <f t="shared" si="38"/>
        <v>137.92697045234098</v>
      </c>
      <c r="I83" s="85">
        <f t="shared" si="39"/>
        <v>86.433333333333337</v>
      </c>
    </row>
    <row r="84" spans="1:9" ht="30" x14ac:dyDescent="0.25">
      <c r="A84" s="132"/>
      <c r="B84" s="115">
        <v>3212</v>
      </c>
      <c r="C84" s="116"/>
      <c r="D84" s="117" t="s">
        <v>68</v>
      </c>
      <c r="E84" s="118">
        <f>78717.5/7.5345</f>
        <v>10447.607671378326</v>
      </c>
      <c r="F84" s="118">
        <v>18600</v>
      </c>
      <c r="G84" s="118">
        <v>9110.83</v>
      </c>
      <c r="H84" s="85">
        <f t="shared" si="38"/>
        <v>87.204939987931525</v>
      </c>
      <c r="I84" s="85">
        <f t="shared" si="39"/>
        <v>48.982956989247313</v>
      </c>
    </row>
    <row r="85" spans="1:9" ht="30" x14ac:dyDescent="0.25">
      <c r="A85" s="132"/>
      <c r="B85" s="115">
        <v>3213</v>
      </c>
      <c r="C85" s="116"/>
      <c r="D85" s="117" t="s">
        <v>69</v>
      </c>
      <c r="E85" s="118">
        <f>740/7.5345</f>
        <v>98.214878226823274</v>
      </c>
      <c r="F85" s="118">
        <v>220</v>
      </c>
      <c r="G85" s="118">
        <v>156.5</v>
      </c>
      <c r="H85" s="85">
        <f t="shared" si="38"/>
        <v>159.34449324324325</v>
      </c>
      <c r="I85" s="85">
        <f t="shared" si="39"/>
        <v>71.136363636363626</v>
      </c>
    </row>
    <row r="86" spans="1:9" ht="30" x14ac:dyDescent="0.25">
      <c r="A86" s="132"/>
      <c r="B86" s="115">
        <v>3214</v>
      </c>
      <c r="C86" s="116"/>
      <c r="D86" s="117" t="s">
        <v>70</v>
      </c>
      <c r="E86" s="118">
        <f>4834/7.5345</f>
        <v>641.58205587630232</v>
      </c>
      <c r="F86" s="118">
        <v>1400</v>
      </c>
      <c r="G86" s="118">
        <v>656.32</v>
      </c>
      <c r="H86" s="85">
        <f t="shared" si="38"/>
        <v>102.29712536201905</v>
      </c>
      <c r="I86" s="85">
        <f t="shared" si="39"/>
        <v>46.88</v>
      </c>
    </row>
    <row r="87" spans="1:9" x14ac:dyDescent="0.25">
      <c r="A87" s="134"/>
      <c r="B87" s="135">
        <v>322</v>
      </c>
      <c r="C87" s="131"/>
      <c r="D87" s="113" t="s">
        <v>51</v>
      </c>
      <c r="E87" s="136">
        <f t="shared" ref="E87" si="48">SUM(E88:E94)</f>
        <v>14116.125821222377</v>
      </c>
      <c r="F87" s="136">
        <f t="shared" ref="F87:G87" si="49">SUM(F88:F94)</f>
        <v>45160</v>
      </c>
      <c r="G87" s="136">
        <f t="shared" si="49"/>
        <v>21804.190000000002</v>
      </c>
      <c r="H87" s="85">
        <f t="shared" si="38"/>
        <v>154.46298988933128</v>
      </c>
      <c r="I87" s="85">
        <f t="shared" si="39"/>
        <v>48.282085916740485</v>
      </c>
    </row>
    <row r="88" spans="1:9" ht="30" x14ac:dyDescent="0.25">
      <c r="A88" s="137"/>
      <c r="B88" s="115">
        <v>3221</v>
      </c>
      <c r="C88" s="116"/>
      <c r="D88" s="117" t="s">
        <v>71</v>
      </c>
      <c r="E88" s="138">
        <f>14520.55/7.5345</f>
        <v>1927.2081757249982</v>
      </c>
      <c r="F88" s="138">
        <v>4650</v>
      </c>
      <c r="G88" s="138">
        <v>3027.54</v>
      </c>
      <c r="H88" s="85">
        <f t="shared" si="38"/>
        <v>157.09460130642435</v>
      </c>
      <c r="I88" s="85">
        <f t="shared" si="39"/>
        <v>65.108387096774194</v>
      </c>
    </row>
    <row r="89" spans="1:9" x14ac:dyDescent="0.25">
      <c r="A89" s="6"/>
      <c r="B89" s="115">
        <v>3222</v>
      </c>
      <c r="C89" s="116"/>
      <c r="D89" s="117" t="s">
        <v>72</v>
      </c>
      <c r="E89" s="138">
        <f>51576.19/7.5345</f>
        <v>6845.3367841263516</v>
      </c>
      <c r="F89" s="138">
        <f>230+13200+1000+13000</f>
        <v>27430</v>
      </c>
      <c r="G89" s="138">
        <v>13523.82</v>
      </c>
      <c r="H89" s="85">
        <f t="shared" si="38"/>
        <v>197.56252214442361</v>
      </c>
      <c r="I89" s="85">
        <f t="shared" si="39"/>
        <v>49.303025884068532</v>
      </c>
    </row>
    <row r="90" spans="1:9" x14ac:dyDescent="0.25">
      <c r="A90" s="6"/>
      <c r="B90" s="139">
        <v>3223</v>
      </c>
      <c r="C90" s="140"/>
      <c r="D90" s="117" t="s">
        <v>73</v>
      </c>
      <c r="E90" s="138">
        <f>30030.65/7.5345</f>
        <v>3985.75220651669</v>
      </c>
      <c r="F90" s="138">
        <v>8930</v>
      </c>
      <c r="G90" s="138">
        <v>3820.4</v>
      </c>
      <c r="H90" s="85">
        <f t="shared" si="38"/>
        <v>95.851417801479485</v>
      </c>
      <c r="I90" s="85">
        <f t="shared" si="39"/>
        <v>42.781634938409859</v>
      </c>
    </row>
    <row r="91" spans="1:9" ht="30" x14ac:dyDescent="0.25">
      <c r="A91" s="6"/>
      <c r="B91" s="133">
        <v>3224</v>
      </c>
      <c r="C91" s="133"/>
      <c r="D91" s="117" t="s">
        <v>74</v>
      </c>
      <c r="E91" s="138">
        <f>7866.47/7.5345</f>
        <v>1044.0599907094033</v>
      </c>
      <c r="F91" s="138">
        <v>2150</v>
      </c>
      <c r="G91" s="138">
        <v>995.97</v>
      </c>
      <c r="H91" s="85">
        <f t="shared" si="38"/>
        <v>95.393943725711793</v>
      </c>
      <c r="I91" s="85">
        <f t="shared" si="39"/>
        <v>46.324186046511628</v>
      </c>
    </row>
    <row r="92" spans="1:9" x14ac:dyDescent="0.25">
      <c r="A92" s="6"/>
      <c r="B92" s="133">
        <v>3225</v>
      </c>
      <c r="C92" s="116"/>
      <c r="D92" s="117" t="s">
        <v>75</v>
      </c>
      <c r="E92" s="138">
        <f>1424.95/7.5345</f>
        <v>189.12336585042138</v>
      </c>
      <c r="F92" s="138">
        <f>500+1350</f>
        <v>1850</v>
      </c>
      <c r="G92" s="138">
        <v>344.66</v>
      </c>
      <c r="H92" s="85">
        <f t="shared" si="38"/>
        <v>182.24083441524266</v>
      </c>
      <c r="I92" s="85">
        <f t="shared" si="39"/>
        <v>18.630270270270273</v>
      </c>
    </row>
    <row r="93" spans="1:9" ht="30" x14ac:dyDescent="0.25">
      <c r="A93" s="6"/>
      <c r="B93" s="141">
        <v>3226</v>
      </c>
      <c r="C93" s="6"/>
      <c r="D93" s="117" t="s">
        <v>76</v>
      </c>
      <c r="E93" s="138"/>
      <c r="F93" s="138"/>
      <c r="G93" s="138"/>
      <c r="H93" s="85"/>
      <c r="I93" s="85"/>
    </row>
    <row r="94" spans="1:9" ht="30" x14ac:dyDescent="0.25">
      <c r="A94" s="6"/>
      <c r="B94" s="141">
        <v>3227</v>
      </c>
      <c r="C94" s="6"/>
      <c r="D94" s="117" t="s">
        <v>77</v>
      </c>
      <c r="E94" s="138">
        <f>939.14/7.5345</f>
        <v>124.6452982945119</v>
      </c>
      <c r="F94" s="138">
        <v>150</v>
      </c>
      <c r="G94" s="138">
        <v>91.8</v>
      </c>
      <c r="H94" s="85">
        <f t="shared" si="38"/>
        <v>73.648987371424923</v>
      </c>
      <c r="I94" s="85">
        <f t="shared" si="39"/>
        <v>61.199999999999996</v>
      </c>
    </row>
    <row r="95" spans="1:9" x14ac:dyDescent="0.25">
      <c r="A95" s="142"/>
      <c r="B95" s="143">
        <v>323</v>
      </c>
      <c r="C95" s="142"/>
      <c r="D95" s="113" t="s">
        <v>52</v>
      </c>
      <c r="E95" s="136">
        <f t="shared" ref="E95" si="50">SUM(E96:E104)</f>
        <v>9651.9569978100735</v>
      </c>
      <c r="F95" s="136">
        <f t="shared" ref="F95:G95" si="51">SUM(F96:F104)</f>
        <v>14933</v>
      </c>
      <c r="G95" s="136">
        <f t="shared" si="51"/>
        <v>5831.8099999999995</v>
      </c>
      <c r="H95" s="85">
        <f t="shared" si="38"/>
        <v>60.421011006609071</v>
      </c>
      <c r="I95" s="85">
        <f t="shared" si="39"/>
        <v>39.053170829706019</v>
      </c>
    </row>
    <row r="96" spans="1:9" ht="30" x14ac:dyDescent="0.25">
      <c r="A96" s="144"/>
      <c r="B96" s="141">
        <v>3231</v>
      </c>
      <c r="C96" s="6"/>
      <c r="D96" s="117" t="s">
        <v>78</v>
      </c>
      <c r="E96" s="138">
        <f>17952.96/7.5345</f>
        <v>2382.7672705554446</v>
      </c>
      <c r="F96" s="138">
        <v>4320</v>
      </c>
      <c r="G96" s="138">
        <v>1703.64</v>
      </c>
      <c r="H96" s="85">
        <f t="shared" si="38"/>
        <v>71.498380099994662</v>
      </c>
      <c r="I96" s="85">
        <f t="shared" si="39"/>
        <v>39.43611111111111</v>
      </c>
    </row>
    <row r="97" spans="1:9" ht="30" x14ac:dyDescent="0.25">
      <c r="A97" s="6"/>
      <c r="B97" s="141">
        <v>3232</v>
      </c>
      <c r="C97" s="6"/>
      <c r="D97" s="117" t="s">
        <v>79</v>
      </c>
      <c r="E97" s="138">
        <f>3751.5/7.5345</f>
        <v>497.90961576746963</v>
      </c>
      <c r="F97" s="138">
        <v>2120</v>
      </c>
      <c r="G97" s="138">
        <v>566.70000000000005</v>
      </c>
      <c r="H97" s="85">
        <f t="shared" si="38"/>
        <v>113.81583766493404</v>
      </c>
      <c r="I97" s="85">
        <f t="shared" si="39"/>
        <v>26.731132075471702</v>
      </c>
    </row>
    <row r="98" spans="1:9" ht="30" x14ac:dyDescent="0.25">
      <c r="A98" s="6"/>
      <c r="B98" s="141">
        <v>3233</v>
      </c>
      <c r="C98" s="6"/>
      <c r="D98" s="117" t="s">
        <v>80</v>
      </c>
      <c r="E98" s="138">
        <f>480/7.5345</f>
        <v>63.706948039020503</v>
      </c>
      <c r="F98" s="138">
        <v>128</v>
      </c>
      <c r="G98" s="138">
        <v>63.72</v>
      </c>
      <c r="H98" s="85">
        <f t="shared" si="38"/>
        <v>100.02048750000002</v>
      </c>
      <c r="I98" s="85">
        <f t="shared" si="39"/>
        <v>49.78125</v>
      </c>
    </row>
    <row r="99" spans="1:9" x14ac:dyDescent="0.25">
      <c r="A99" s="6"/>
      <c r="B99" s="141">
        <v>3234</v>
      </c>
      <c r="C99" s="6"/>
      <c r="D99" s="117" t="s">
        <v>81</v>
      </c>
      <c r="E99" s="138">
        <f>17768.61/7.5345</f>
        <v>2358.2998208242084</v>
      </c>
      <c r="F99" s="138">
        <v>3320</v>
      </c>
      <c r="G99" s="138">
        <v>1718.39</v>
      </c>
      <c r="H99" s="85">
        <f t="shared" si="38"/>
        <v>72.86562907847042</v>
      </c>
      <c r="I99" s="85">
        <f t="shared" si="39"/>
        <v>51.758734939759044</v>
      </c>
    </row>
    <row r="100" spans="1:9" x14ac:dyDescent="0.25">
      <c r="A100" s="6"/>
      <c r="B100" s="141">
        <v>3235</v>
      </c>
      <c r="C100" s="6"/>
      <c r="D100" s="117" t="s">
        <v>82</v>
      </c>
      <c r="E100" s="138"/>
      <c r="F100" s="138"/>
      <c r="G100" s="138"/>
      <c r="H100" s="85"/>
      <c r="I100" s="85"/>
    </row>
    <row r="101" spans="1:9" ht="30" x14ac:dyDescent="0.25">
      <c r="A101" s="6"/>
      <c r="B101" s="141">
        <v>3236</v>
      </c>
      <c r="C101" s="6"/>
      <c r="D101" s="117" t="s">
        <v>83</v>
      </c>
      <c r="E101" s="138">
        <f>4916.08/7.5345</f>
        <v>652.47594399097477</v>
      </c>
      <c r="F101" s="138">
        <v>2655</v>
      </c>
      <c r="G101" s="138">
        <v>318.92</v>
      </c>
      <c r="H101" s="85">
        <f t="shared" si="38"/>
        <v>48.878430375421075</v>
      </c>
      <c r="I101" s="85">
        <f t="shared" si="39"/>
        <v>12.0120527306968</v>
      </c>
    </row>
    <row r="102" spans="1:9" x14ac:dyDescent="0.25">
      <c r="A102" s="6"/>
      <c r="B102" s="141">
        <v>3237</v>
      </c>
      <c r="C102" s="6"/>
      <c r="D102" s="117" t="s">
        <v>84</v>
      </c>
      <c r="E102" s="138"/>
      <c r="F102" s="138"/>
      <c r="G102" s="138">
        <v>250</v>
      </c>
      <c r="H102" s="85"/>
      <c r="I102" s="85"/>
    </row>
    <row r="103" spans="1:9" x14ac:dyDescent="0.25">
      <c r="A103" s="6"/>
      <c r="B103" s="141">
        <v>3238</v>
      </c>
      <c r="C103" s="6"/>
      <c r="D103" s="117" t="s">
        <v>85</v>
      </c>
      <c r="E103" s="138">
        <f>3373.76/7.5345</f>
        <v>447.77490211692879</v>
      </c>
      <c r="F103" s="138">
        <v>1090</v>
      </c>
      <c r="G103" s="138">
        <v>500.5</v>
      </c>
      <c r="H103" s="85">
        <f t="shared" si="38"/>
        <v>111.77491137484587</v>
      </c>
      <c r="I103" s="85">
        <f t="shared" si="39"/>
        <v>45.917431192660551</v>
      </c>
    </row>
    <row r="104" spans="1:9" x14ac:dyDescent="0.25">
      <c r="A104" s="6"/>
      <c r="B104" s="141">
        <v>3239</v>
      </c>
      <c r="C104" s="6"/>
      <c r="D104" s="117" t="s">
        <v>86</v>
      </c>
      <c r="E104" s="138">
        <f>24479.76/7.5345</f>
        <v>3249.022496516026</v>
      </c>
      <c r="F104" s="138">
        <v>1300</v>
      </c>
      <c r="G104" s="138">
        <v>709.94</v>
      </c>
      <c r="H104" s="85">
        <f t="shared" si="38"/>
        <v>21.85087978803714</v>
      </c>
      <c r="I104" s="85">
        <f t="shared" si="39"/>
        <v>54.610769230769243</v>
      </c>
    </row>
    <row r="105" spans="1:9" ht="30" x14ac:dyDescent="0.25">
      <c r="A105" s="142"/>
      <c r="B105" s="143">
        <v>324</v>
      </c>
      <c r="C105" s="142"/>
      <c r="D105" s="113" t="s">
        <v>87</v>
      </c>
      <c r="E105" s="136">
        <f t="shared" ref="E105:G105" si="52">E106</f>
        <v>0</v>
      </c>
      <c r="F105" s="136">
        <f t="shared" si="52"/>
        <v>0</v>
      </c>
      <c r="G105" s="136">
        <f t="shared" si="52"/>
        <v>0</v>
      </c>
      <c r="H105" s="85"/>
      <c r="I105" s="85"/>
    </row>
    <row r="106" spans="1:9" ht="30" x14ac:dyDescent="0.25">
      <c r="A106" s="144"/>
      <c r="B106" s="145">
        <v>3241</v>
      </c>
      <c r="C106" s="144"/>
      <c r="D106" s="117" t="s">
        <v>116</v>
      </c>
      <c r="E106" s="146"/>
      <c r="F106" s="146"/>
      <c r="G106" s="146"/>
      <c r="H106" s="85"/>
      <c r="I106" s="85"/>
    </row>
    <row r="107" spans="1:9" ht="30" x14ac:dyDescent="0.25">
      <c r="A107" s="142"/>
      <c r="B107" s="143">
        <v>329</v>
      </c>
      <c r="C107" s="142"/>
      <c r="D107" s="113" t="s">
        <v>88</v>
      </c>
      <c r="E107" s="136">
        <f t="shared" ref="E107" si="53">SUM(E108:E114)</f>
        <v>11675.517950759837</v>
      </c>
      <c r="F107" s="136">
        <f t="shared" ref="F107:G107" si="54">SUM(F108:F114)</f>
        <v>7570</v>
      </c>
      <c r="G107" s="136">
        <f t="shared" si="54"/>
        <v>5380.08</v>
      </c>
      <c r="H107" s="85">
        <f t="shared" si="38"/>
        <v>46.080011376710416</v>
      </c>
      <c r="I107" s="85">
        <f t="shared" si="39"/>
        <v>71.071070013210033</v>
      </c>
    </row>
    <row r="108" spans="1:9" ht="45" x14ac:dyDescent="0.25">
      <c r="A108" s="144"/>
      <c r="B108" s="141">
        <v>3291</v>
      </c>
      <c r="C108" s="6"/>
      <c r="D108" s="117" t="s">
        <v>89</v>
      </c>
      <c r="E108" s="138"/>
      <c r="F108" s="138"/>
      <c r="G108" s="138">
        <v>150</v>
      </c>
      <c r="H108" s="85"/>
      <c r="I108" s="85"/>
    </row>
    <row r="109" spans="1:9" x14ac:dyDescent="0.25">
      <c r="A109" s="6"/>
      <c r="B109" s="141">
        <v>3292</v>
      </c>
      <c r="C109" s="6"/>
      <c r="D109" s="117" t="s">
        <v>90</v>
      </c>
      <c r="E109" s="138"/>
      <c r="F109" s="138"/>
      <c r="G109" s="138"/>
      <c r="H109" s="85"/>
      <c r="I109" s="85"/>
    </row>
    <row r="110" spans="1:9" x14ac:dyDescent="0.25">
      <c r="A110" s="6"/>
      <c r="B110" s="141">
        <v>3293</v>
      </c>
      <c r="C110" s="6"/>
      <c r="D110" s="117" t="s">
        <v>91</v>
      </c>
      <c r="E110" s="138"/>
      <c r="F110" s="138"/>
      <c r="G110" s="138"/>
      <c r="H110" s="85"/>
      <c r="I110" s="85"/>
    </row>
    <row r="111" spans="1:9" x14ac:dyDescent="0.25">
      <c r="A111" s="6"/>
      <c r="B111" s="141">
        <v>3294</v>
      </c>
      <c r="C111" s="6"/>
      <c r="D111" s="117" t="s">
        <v>92</v>
      </c>
      <c r="E111" s="138">
        <f>900/7.5345</f>
        <v>119.45052757316344</v>
      </c>
      <c r="F111" s="138">
        <v>170</v>
      </c>
      <c r="G111" s="138">
        <v>121.36</v>
      </c>
      <c r="H111" s="85">
        <f t="shared" si="38"/>
        <v>101.59854666666668</v>
      </c>
      <c r="I111" s="85">
        <f t="shared" si="39"/>
        <v>71.388235294117635</v>
      </c>
    </row>
    <row r="112" spans="1:9" x14ac:dyDescent="0.25">
      <c r="A112" s="6"/>
      <c r="B112" s="141">
        <v>3295</v>
      </c>
      <c r="C112" s="6"/>
      <c r="D112" s="117" t="s">
        <v>93</v>
      </c>
      <c r="E112" s="138">
        <f>6987.5/7.5345</f>
        <v>927.4006237971995</v>
      </c>
      <c r="F112" s="138">
        <v>1900</v>
      </c>
      <c r="G112" s="138">
        <v>838.71</v>
      </c>
      <c r="H112" s="85">
        <f t="shared" si="38"/>
        <v>90.436643935599292</v>
      </c>
      <c r="I112" s="85">
        <f t="shared" si="39"/>
        <v>44.142631578947373</v>
      </c>
    </row>
    <row r="113" spans="1:11" x14ac:dyDescent="0.25">
      <c r="A113" s="6"/>
      <c r="B113" s="141">
        <v>3296</v>
      </c>
      <c r="C113" s="6"/>
      <c r="D113" s="117" t="s">
        <v>94</v>
      </c>
      <c r="E113" s="138">
        <f>26019.12/7.5345</f>
        <v>3453.3306788771647</v>
      </c>
      <c r="F113" s="138"/>
      <c r="G113" s="138"/>
      <c r="H113" s="85">
        <f t="shared" si="38"/>
        <v>0</v>
      </c>
      <c r="I113" s="85"/>
    </row>
    <row r="114" spans="1:11" ht="30" x14ac:dyDescent="0.25">
      <c r="A114" s="6"/>
      <c r="B114" s="141">
        <v>3299</v>
      </c>
      <c r="C114" s="6"/>
      <c r="D114" s="117" t="s">
        <v>53</v>
      </c>
      <c r="E114" s="138">
        <f>54062.57/7.5345</f>
        <v>7175.3361205123092</v>
      </c>
      <c r="F114" s="138">
        <v>5500</v>
      </c>
      <c r="G114" s="138">
        <v>4270.01</v>
      </c>
      <c r="H114" s="85">
        <f t="shared" si="38"/>
        <v>59.509546706714097</v>
      </c>
      <c r="I114" s="85">
        <f t="shared" si="39"/>
        <v>77.636545454545455</v>
      </c>
    </row>
    <row r="115" spans="1:11" x14ac:dyDescent="0.25">
      <c r="A115" s="122"/>
      <c r="B115" s="122"/>
      <c r="C115" s="123">
        <v>11</v>
      </c>
      <c r="D115" s="123" t="s">
        <v>18</v>
      </c>
      <c r="E115" s="124"/>
      <c r="F115" s="124"/>
      <c r="G115" s="124"/>
      <c r="H115" s="85"/>
      <c r="I115" s="85"/>
    </row>
    <row r="116" spans="1:11" x14ac:dyDescent="0.25">
      <c r="A116" s="122"/>
      <c r="B116" s="122"/>
      <c r="C116" s="123">
        <v>31</v>
      </c>
      <c r="D116" s="123" t="s">
        <v>148</v>
      </c>
      <c r="E116" s="124">
        <f>2950/7.5345</f>
        <v>391.53228482314682</v>
      </c>
      <c r="F116" s="124">
        <v>730</v>
      </c>
      <c r="G116" s="124">
        <v>940.39</v>
      </c>
      <c r="H116" s="85">
        <f t="shared" si="38"/>
        <v>240.18198152542377</v>
      </c>
      <c r="I116" s="85">
        <f t="shared" si="39"/>
        <v>128.82054794520548</v>
      </c>
      <c r="K116" s="184"/>
    </row>
    <row r="117" spans="1:11" x14ac:dyDescent="0.25">
      <c r="A117" s="122"/>
      <c r="B117" s="122"/>
      <c r="C117" s="123">
        <v>44</v>
      </c>
      <c r="D117" s="123" t="s">
        <v>143</v>
      </c>
      <c r="E117" s="124">
        <f>145865.24/7.5345</f>
        <v>19359.644302873447</v>
      </c>
      <c r="F117" s="124">
        <v>33853</v>
      </c>
      <c r="G117" s="124">
        <f>14254.16-243.21</f>
        <v>14010.95</v>
      </c>
      <c r="H117" s="85">
        <f t="shared" si="38"/>
        <v>72.371939178244261</v>
      </c>
      <c r="I117" s="85">
        <f t="shared" si="39"/>
        <v>41.387617050187572</v>
      </c>
    </row>
    <row r="118" spans="1:11" x14ac:dyDescent="0.25">
      <c r="A118" s="125"/>
      <c r="B118" s="122"/>
      <c r="C118" s="123">
        <v>51</v>
      </c>
      <c r="D118" s="123" t="s">
        <v>114</v>
      </c>
      <c r="E118" s="124">
        <f>7273.54/7.5345</f>
        <v>965.36465591611909</v>
      </c>
      <c r="F118" s="124">
        <v>1000</v>
      </c>
      <c r="G118" s="124">
        <v>243.21</v>
      </c>
      <c r="H118" s="85">
        <f t="shared" si="38"/>
        <v>25.193588610222811</v>
      </c>
      <c r="I118" s="85">
        <f t="shared" si="39"/>
        <v>24.321000000000002</v>
      </c>
    </row>
    <row r="119" spans="1:11" x14ac:dyDescent="0.25">
      <c r="A119" s="125"/>
      <c r="B119" s="122"/>
      <c r="C119" s="123">
        <v>43</v>
      </c>
      <c r="D119" s="123" t="s">
        <v>44</v>
      </c>
      <c r="E119" s="124">
        <v>12771.378000000001</v>
      </c>
      <c r="F119" s="124">
        <v>20330</v>
      </c>
      <c r="G119" s="124">
        <v>5714.84</v>
      </c>
      <c r="H119" s="85">
        <f t="shared" si="38"/>
        <v>44.74724653831403</v>
      </c>
      <c r="I119" s="85">
        <f t="shared" si="39"/>
        <v>28.110378750614856</v>
      </c>
    </row>
    <row r="120" spans="1:11" x14ac:dyDescent="0.25">
      <c r="A120" s="125"/>
      <c r="B120" s="122"/>
      <c r="C120" s="123">
        <v>52</v>
      </c>
      <c r="D120" s="123" t="s">
        <v>43</v>
      </c>
      <c r="E120" s="124">
        <v>15067.24</v>
      </c>
      <c r="F120" s="124">
        <v>20500</v>
      </c>
      <c r="G120" s="124">
        <v>23352.77</v>
      </c>
      <c r="H120" s="85">
        <f t="shared" si="38"/>
        <v>154.99036319856856</v>
      </c>
      <c r="I120" s="85">
        <f t="shared" si="39"/>
        <v>113.91595121951219</v>
      </c>
    </row>
    <row r="121" spans="1:11" x14ac:dyDescent="0.25">
      <c r="A121" s="147"/>
      <c r="B121" s="148">
        <v>34</v>
      </c>
      <c r="C121" s="147"/>
      <c r="D121" s="109" t="s">
        <v>54</v>
      </c>
      <c r="E121" s="110">
        <f t="shared" ref="E121:G121" si="55">E122</f>
        <v>2757.3415621474546</v>
      </c>
      <c r="F121" s="110">
        <f t="shared" si="55"/>
        <v>510</v>
      </c>
      <c r="G121" s="110">
        <f t="shared" si="55"/>
        <v>169.12</v>
      </c>
      <c r="H121" s="85">
        <f t="shared" si="38"/>
        <v>6.1334439781296837</v>
      </c>
      <c r="I121" s="85">
        <f t="shared" si="39"/>
        <v>33.160784313725486</v>
      </c>
    </row>
    <row r="122" spans="1:11" x14ac:dyDescent="0.25">
      <c r="A122" s="142"/>
      <c r="B122" s="143">
        <v>343</v>
      </c>
      <c r="C122" s="142"/>
      <c r="D122" s="113" t="s">
        <v>55</v>
      </c>
      <c r="E122" s="136">
        <f t="shared" ref="E122" si="56">SUM(E123:E124)</f>
        <v>2757.3415621474546</v>
      </c>
      <c r="F122" s="136">
        <f t="shared" ref="F122:G122" si="57">SUM(F123:F124)</f>
        <v>510</v>
      </c>
      <c r="G122" s="136">
        <f t="shared" si="57"/>
        <v>169.12</v>
      </c>
      <c r="H122" s="85">
        <f t="shared" si="38"/>
        <v>6.1334439781296837</v>
      </c>
      <c r="I122" s="85">
        <f t="shared" si="39"/>
        <v>33.160784313725486</v>
      </c>
    </row>
    <row r="123" spans="1:11" ht="30" x14ac:dyDescent="0.25">
      <c r="A123" s="144"/>
      <c r="B123" s="141">
        <v>3431</v>
      </c>
      <c r="C123" s="6"/>
      <c r="D123" s="117" t="s">
        <v>95</v>
      </c>
      <c r="E123" s="138">
        <f>20775.19/7.5345</f>
        <v>2757.3415621474546</v>
      </c>
      <c r="F123" s="138">
        <v>510</v>
      </c>
      <c r="G123" s="138">
        <v>169.12</v>
      </c>
      <c r="H123" s="85">
        <f t="shared" si="38"/>
        <v>6.1334439781296837</v>
      </c>
      <c r="I123" s="85">
        <f t="shared" si="39"/>
        <v>33.160784313725486</v>
      </c>
    </row>
    <row r="124" spans="1:11" x14ac:dyDescent="0.25">
      <c r="A124" s="6"/>
      <c r="B124" s="141">
        <v>3433</v>
      </c>
      <c r="C124" s="6"/>
      <c r="D124" s="117" t="s">
        <v>96</v>
      </c>
      <c r="E124" s="138"/>
      <c r="F124" s="138"/>
      <c r="G124" s="138"/>
      <c r="H124" s="85"/>
      <c r="I124" s="85"/>
    </row>
    <row r="125" spans="1:11" x14ac:dyDescent="0.25">
      <c r="A125" s="122"/>
      <c r="B125" s="122"/>
      <c r="C125" s="123">
        <v>11</v>
      </c>
      <c r="D125" s="123" t="s">
        <v>18</v>
      </c>
      <c r="E125" s="124"/>
      <c r="F125" s="124"/>
      <c r="G125" s="124"/>
      <c r="H125" s="85"/>
      <c r="I125" s="85"/>
    </row>
    <row r="126" spans="1:11" x14ac:dyDescent="0.25">
      <c r="A126" s="122"/>
      <c r="B126" s="122"/>
      <c r="C126" s="123">
        <v>31</v>
      </c>
      <c r="D126" s="123" t="s">
        <v>148</v>
      </c>
      <c r="E126" s="124"/>
      <c r="F126" s="124"/>
      <c r="G126" s="124"/>
      <c r="H126" s="85"/>
      <c r="I126" s="85"/>
    </row>
    <row r="127" spans="1:11" x14ac:dyDescent="0.25">
      <c r="A127" s="122"/>
      <c r="B127" s="122"/>
      <c r="C127" s="123">
        <v>44</v>
      </c>
      <c r="D127" s="123" t="s">
        <v>143</v>
      </c>
      <c r="E127" s="124">
        <v>210.29</v>
      </c>
      <c r="F127" s="149">
        <v>510</v>
      </c>
      <c r="G127" s="149">
        <v>169.12</v>
      </c>
      <c r="H127" s="85">
        <f t="shared" si="38"/>
        <v>80.422274002567889</v>
      </c>
      <c r="I127" s="85">
        <f t="shared" si="39"/>
        <v>33.160784313725486</v>
      </c>
    </row>
    <row r="128" spans="1:11" x14ac:dyDescent="0.25">
      <c r="A128" s="125"/>
      <c r="B128" s="122"/>
      <c r="C128" s="123">
        <v>51</v>
      </c>
      <c r="D128" s="123" t="s">
        <v>114</v>
      </c>
      <c r="E128" s="124"/>
      <c r="F128" s="124"/>
      <c r="G128" s="124"/>
      <c r="H128" s="85"/>
      <c r="I128" s="85"/>
    </row>
    <row r="129" spans="1:9" x14ac:dyDescent="0.25">
      <c r="A129" s="125"/>
      <c r="B129" s="122"/>
      <c r="C129" s="123">
        <v>43</v>
      </c>
      <c r="D129" s="123" t="s">
        <v>44</v>
      </c>
      <c r="E129" s="124"/>
      <c r="F129" s="124"/>
      <c r="G129" s="124"/>
      <c r="H129" s="85"/>
      <c r="I129" s="85"/>
    </row>
    <row r="130" spans="1:9" x14ac:dyDescent="0.25">
      <c r="A130" s="125"/>
      <c r="B130" s="122"/>
      <c r="C130" s="123">
        <v>52</v>
      </c>
      <c r="D130" s="123" t="s">
        <v>43</v>
      </c>
      <c r="E130" s="124">
        <v>2547.0500000000002</v>
      </c>
      <c r="F130" s="124"/>
      <c r="G130" s="124"/>
      <c r="H130" s="85">
        <f t="shared" ref="H130:H158" si="58">G130/E130*100</f>
        <v>0</v>
      </c>
      <c r="I130" s="85" t="e">
        <f t="shared" ref="I130:I158" si="59">G130/F130*100</f>
        <v>#DIV/0!</v>
      </c>
    </row>
    <row r="131" spans="1:9" ht="45" x14ac:dyDescent="0.25">
      <c r="A131" s="147"/>
      <c r="B131" s="148">
        <v>37</v>
      </c>
      <c r="C131" s="147"/>
      <c r="D131" s="109" t="s">
        <v>56</v>
      </c>
      <c r="E131" s="110">
        <f t="shared" ref="E131:G131" si="60">E132</f>
        <v>0</v>
      </c>
      <c r="F131" s="110">
        <f t="shared" si="60"/>
        <v>3900</v>
      </c>
      <c r="G131" s="110">
        <f t="shared" si="60"/>
        <v>0</v>
      </c>
      <c r="H131" s="85" t="e">
        <f t="shared" si="58"/>
        <v>#DIV/0!</v>
      </c>
      <c r="I131" s="85">
        <f t="shared" si="59"/>
        <v>0</v>
      </c>
    </row>
    <row r="132" spans="1:9" ht="30" x14ac:dyDescent="0.25">
      <c r="A132" s="142"/>
      <c r="B132" s="143">
        <v>372</v>
      </c>
      <c r="C132" s="142"/>
      <c r="D132" s="113" t="s">
        <v>57</v>
      </c>
      <c r="E132" s="136">
        <f t="shared" ref="E132" si="61">SUM(E133:E134)</f>
        <v>0</v>
      </c>
      <c r="F132" s="136">
        <f t="shared" ref="F132:G132" si="62">SUM(F133:F134)</f>
        <v>3900</v>
      </c>
      <c r="G132" s="136">
        <f t="shared" si="62"/>
        <v>0</v>
      </c>
      <c r="H132" s="85" t="e">
        <f t="shared" si="58"/>
        <v>#DIV/0!</v>
      </c>
      <c r="I132" s="85">
        <f t="shared" si="59"/>
        <v>0</v>
      </c>
    </row>
    <row r="133" spans="1:9" ht="30" x14ac:dyDescent="0.25">
      <c r="A133" s="144"/>
      <c r="B133" s="141">
        <v>3721</v>
      </c>
      <c r="C133" s="6"/>
      <c r="D133" s="117" t="s">
        <v>97</v>
      </c>
      <c r="E133" s="138"/>
      <c r="F133" s="138"/>
      <c r="G133" s="138"/>
      <c r="H133" s="85"/>
      <c r="I133" s="85"/>
    </row>
    <row r="134" spans="1:9" ht="30" x14ac:dyDescent="0.25">
      <c r="A134" s="6"/>
      <c r="B134" s="141">
        <v>3722</v>
      </c>
      <c r="C134" s="6"/>
      <c r="D134" s="117" t="s">
        <v>98</v>
      </c>
      <c r="E134" s="138"/>
      <c r="F134" s="138">
        <v>3900</v>
      </c>
      <c r="G134" s="138"/>
      <c r="H134" s="85" t="e">
        <f t="shared" si="58"/>
        <v>#DIV/0!</v>
      </c>
      <c r="I134" s="85">
        <f t="shared" si="59"/>
        <v>0</v>
      </c>
    </row>
    <row r="135" spans="1:9" x14ac:dyDescent="0.25">
      <c r="A135" s="122"/>
      <c r="B135" s="122"/>
      <c r="C135" s="123">
        <v>11</v>
      </c>
      <c r="D135" s="123" t="s">
        <v>18</v>
      </c>
      <c r="E135" s="124"/>
      <c r="F135" s="124"/>
      <c r="G135" s="124"/>
      <c r="H135" s="85"/>
      <c r="I135" s="85"/>
    </row>
    <row r="136" spans="1:9" x14ac:dyDescent="0.25">
      <c r="A136" s="122"/>
      <c r="B136" s="122"/>
      <c r="C136" s="123">
        <v>31</v>
      </c>
      <c r="D136" s="123" t="s">
        <v>148</v>
      </c>
      <c r="E136" s="124"/>
      <c r="F136" s="124"/>
      <c r="G136" s="124"/>
      <c r="H136" s="85"/>
      <c r="I136" s="85"/>
    </row>
    <row r="137" spans="1:9" x14ac:dyDescent="0.25">
      <c r="A137" s="122"/>
      <c r="B137" s="122"/>
      <c r="C137" s="123">
        <v>44</v>
      </c>
      <c r="D137" s="123" t="s">
        <v>143</v>
      </c>
      <c r="E137" s="124"/>
      <c r="F137" s="124"/>
      <c r="G137" s="124"/>
      <c r="H137" s="85"/>
      <c r="I137" s="85"/>
    </row>
    <row r="138" spans="1:9" x14ac:dyDescent="0.25">
      <c r="A138" s="125"/>
      <c r="B138" s="122"/>
      <c r="C138" s="123">
        <v>51</v>
      </c>
      <c r="D138" s="123" t="s">
        <v>114</v>
      </c>
      <c r="E138" s="124"/>
      <c r="F138" s="124"/>
      <c r="G138" s="124"/>
      <c r="H138" s="85"/>
      <c r="I138" s="85"/>
    </row>
    <row r="139" spans="1:9" x14ac:dyDescent="0.25">
      <c r="A139" s="125"/>
      <c r="B139" s="122"/>
      <c r="C139" s="123">
        <v>43</v>
      </c>
      <c r="D139" s="123" t="s">
        <v>44</v>
      </c>
      <c r="E139" s="124"/>
      <c r="F139" s="124"/>
      <c r="G139" s="124"/>
      <c r="H139" s="85"/>
      <c r="I139" s="85"/>
    </row>
    <row r="140" spans="1:9" x14ac:dyDescent="0.25">
      <c r="A140" s="125"/>
      <c r="B140" s="122"/>
      <c r="C140" s="123">
        <v>52</v>
      </c>
      <c r="D140" s="123" t="s">
        <v>43</v>
      </c>
      <c r="E140" s="150">
        <f t="shared" ref="E140" si="63">E134</f>
        <v>0</v>
      </c>
      <c r="F140" s="150">
        <f t="shared" ref="F140:G140" si="64">F134</f>
        <v>3900</v>
      </c>
      <c r="G140" s="150">
        <f t="shared" si="64"/>
        <v>0</v>
      </c>
      <c r="H140" s="85" t="e">
        <f t="shared" si="58"/>
        <v>#DIV/0!</v>
      </c>
      <c r="I140" s="85">
        <f t="shared" si="59"/>
        <v>0</v>
      </c>
    </row>
    <row r="141" spans="1:9" ht="30" x14ac:dyDescent="0.25">
      <c r="A141" s="151"/>
      <c r="B141" s="152">
        <v>4</v>
      </c>
      <c r="C141" s="151"/>
      <c r="D141" s="153" t="s">
        <v>45</v>
      </c>
      <c r="E141" s="154">
        <f t="shared" ref="E141:G141" si="65">E142</f>
        <v>152.70555444953214</v>
      </c>
      <c r="F141" s="154">
        <f t="shared" si="65"/>
        <v>4430</v>
      </c>
      <c r="G141" s="154">
        <f t="shared" si="65"/>
        <v>6431.94</v>
      </c>
      <c r="H141" s="85">
        <f t="shared" si="58"/>
        <v>4211.9882431163951</v>
      </c>
      <c r="I141" s="85">
        <f t="shared" si="59"/>
        <v>145.19051918735892</v>
      </c>
    </row>
    <row r="142" spans="1:9" ht="30" x14ac:dyDescent="0.25">
      <c r="A142" s="147"/>
      <c r="B142" s="148">
        <v>42</v>
      </c>
      <c r="C142" s="147"/>
      <c r="D142" s="109" t="s">
        <v>45</v>
      </c>
      <c r="E142" s="110">
        <f t="shared" ref="E142" si="66">SUM(E143,E150)</f>
        <v>152.70555444953214</v>
      </c>
      <c r="F142" s="110">
        <f t="shared" ref="F142:G142" si="67">SUM(F143,F150)</f>
        <v>4430</v>
      </c>
      <c r="G142" s="110">
        <f t="shared" si="67"/>
        <v>6431.94</v>
      </c>
      <c r="H142" s="85">
        <f t="shared" si="58"/>
        <v>4211.9882431163951</v>
      </c>
      <c r="I142" s="85">
        <f t="shared" si="59"/>
        <v>145.19051918735892</v>
      </c>
    </row>
    <row r="143" spans="1:9" x14ac:dyDescent="0.25">
      <c r="A143" s="142"/>
      <c r="B143" s="143">
        <v>422</v>
      </c>
      <c r="C143" s="142"/>
      <c r="D143" s="113" t="s">
        <v>58</v>
      </c>
      <c r="E143" s="136">
        <f t="shared" ref="E143" si="68">SUM(E144:E149)</f>
        <v>0</v>
      </c>
      <c r="F143" s="136">
        <f t="shared" ref="F143:G143" si="69">SUM(F144:F149)</f>
        <v>0</v>
      </c>
      <c r="G143" s="136">
        <f t="shared" si="69"/>
        <v>6431.94</v>
      </c>
      <c r="H143" s="85"/>
      <c r="I143" s="85"/>
    </row>
    <row r="144" spans="1:9" x14ac:dyDescent="0.25">
      <c r="A144" s="144"/>
      <c r="B144" s="141">
        <v>4221</v>
      </c>
      <c r="C144" s="6"/>
      <c r="D144" s="117" t="s">
        <v>99</v>
      </c>
      <c r="E144" s="138"/>
      <c r="F144" s="138"/>
      <c r="G144" s="138"/>
      <c r="H144" s="85"/>
      <c r="I144" s="85"/>
    </row>
    <row r="145" spans="1:9" x14ac:dyDescent="0.25">
      <c r="A145" s="6"/>
      <c r="B145" s="141">
        <v>4222</v>
      </c>
      <c r="C145" s="6"/>
      <c r="D145" s="117" t="s">
        <v>100</v>
      </c>
      <c r="E145" s="138"/>
      <c r="F145" s="138"/>
      <c r="G145" s="138"/>
      <c r="H145" s="85"/>
      <c r="I145" s="85"/>
    </row>
    <row r="146" spans="1:9" x14ac:dyDescent="0.25">
      <c r="A146" s="6"/>
      <c r="B146" s="141">
        <v>4223</v>
      </c>
      <c r="C146" s="6"/>
      <c r="D146" s="117" t="s">
        <v>101</v>
      </c>
      <c r="E146" s="138"/>
      <c r="F146" s="138"/>
      <c r="G146" s="138"/>
      <c r="H146" s="85"/>
      <c r="I146" s="85"/>
    </row>
    <row r="147" spans="1:9" x14ac:dyDescent="0.25">
      <c r="A147" s="6"/>
      <c r="B147" s="141">
        <v>4225</v>
      </c>
      <c r="C147" s="6"/>
      <c r="D147" s="117" t="s">
        <v>102</v>
      </c>
      <c r="E147" s="138"/>
      <c r="F147" s="138"/>
      <c r="G147" s="138"/>
      <c r="H147" s="85"/>
      <c r="I147" s="85"/>
    </row>
    <row r="148" spans="1:9" x14ac:dyDescent="0.25">
      <c r="A148" s="6"/>
      <c r="B148" s="141">
        <v>4226</v>
      </c>
      <c r="C148" s="6"/>
      <c r="D148" s="117" t="s">
        <v>103</v>
      </c>
      <c r="E148" s="138"/>
      <c r="F148" s="138"/>
      <c r="G148" s="138"/>
      <c r="H148" s="85"/>
      <c r="I148" s="85"/>
    </row>
    <row r="149" spans="1:9" ht="30" x14ac:dyDescent="0.25">
      <c r="A149" s="6"/>
      <c r="B149" s="141">
        <v>4227</v>
      </c>
      <c r="C149" s="6"/>
      <c r="D149" s="117" t="s">
        <v>104</v>
      </c>
      <c r="E149" s="138"/>
      <c r="F149" s="138"/>
      <c r="G149" s="138">
        <v>6431.94</v>
      </c>
      <c r="H149" s="85"/>
      <c r="I149" s="85"/>
    </row>
    <row r="150" spans="1:9" ht="30" x14ac:dyDescent="0.25">
      <c r="A150" s="142"/>
      <c r="B150" s="143">
        <v>424</v>
      </c>
      <c r="C150" s="142"/>
      <c r="D150" s="113" t="s">
        <v>59</v>
      </c>
      <c r="E150" s="136">
        <f t="shared" ref="E150:G150" si="70">E151</f>
        <v>152.70555444953214</v>
      </c>
      <c r="F150" s="136">
        <f t="shared" si="70"/>
        <v>4430</v>
      </c>
      <c r="G150" s="136">
        <f t="shared" si="70"/>
        <v>0</v>
      </c>
      <c r="H150" s="85">
        <f t="shared" si="58"/>
        <v>0</v>
      </c>
      <c r="I150" s="85">
        <f t="shared" si="59"/>
        <v>0</v>
      </c>
    </row>
    <row r="151" spans="1:9" x14ac:dyDescent="0.25">
      <c r="A151" s="144"/>
      <c r="B151" s="155">
        <v>4241</v>
      </c>
      <c r="C151" s="6"/>
      <c r="D151" s="117" t="s">
        <v>105</v>
      </c>
      <c r="E151" s="138">
        <f>1150.56/7.5345</f>
        <v>152.70555444953214</v>
      </c>
      <c r="F151" s="138">
        <f>3900+530</f>
        <v>4430</v>
      </c>
      <c r="G151" s="138"/>
      <c r="H151" s="85">
        <f t="shared" si="58"/>
        <v>0</v>
      </c>
      <c r="I151" s="85">
        <f t="shared" si="59"/>
        <v>0</v>
      </c>
    </row>
    <row r="152" spans="1:9" x14ac:dyDescent="0.25">
      <c r="A152" s="122"/>
      <c r="B152" s="122"/>
      <c r="C152" s="123">
        <v>11</v>
      </c>
      <c r="D152" s="123" t="s">
        <v>18</v>
      </c>
      <c r="E152" s="124"/>
      <c r="F152" s="124"/>
      <c r="G152" s="124"/>
      <c r="H152" s="85"/>
      <c r="I152" s="85"/>
    </row>
    <row r="153" spans="1:9" x14ac:dyDescent="0.25">
      <c r="A153" s="122"/>
      <c r="B153" s="122"/>
      <c r="C153" s="123">
        <v>31</v>
      </c>
      <c r="D153" s="123" t="s">
        <v>148</v>
      </c>
      <c r="E153" s="124"/>
      <c r="F153" s="124"/>
      <c r="G153" s="124">
        <v>968</v>
      </c>
      <c r="H153" s="85"/>
      <c r="I153" s="85"/>
    </row>
    <row r="154" spans="1:9" x14ac:dyDescent="0.25">
      <c r="A154" s="122"/>
      <c r="B154" s="122"/>
      <c r="C154" s="123">
        <v>44</v>
      </c>
      <c r="D154" s="123" t="s">
        <v>143</v>
      </c>
      <c r="E154" s="124"/>
      <c r="F154" s="124"/>
      <c r="G154" s="124">
        <v>3263.94</v>
      </c>
      <c r="H154" s="85"/>
      <c r="I154" s="85"/>
    </row>
    <row r="155" spans="1:9" x14ac:dyDescent="0.25">
      <c r="A155" s="125"/>
      <c r="B155" s="122"/>
      <c r="C155" s="123">
        <v>51</v>
      </c>
      <c r="D155" s="123" t="s">
        <v>114</v>
      </c>
      <c r="E155" s="124"/>
      <c r="F155" s="124"/>
      <c r="G155" s="124"/>
      <c r="H155" s="85"/>
      <c r="I155" s="85"/>
    </row>
    <row r="156" spans="1:9" x14ac:dyDescent="0.25">
      <c r="A156" s="125"/>
      <c r="B156" s="122"/>
      <c r="C156" s="123">
        <v>43</v>
      </c>
      <c r="D156" s="123" t="s">
        <v>44</v>
      </c>
      <c r="E156" s="124">
        <v>152.71</v>
      </c>
      <c r="F156" s="124">
        <v>530</v>
      </c>
      <c r="G156" s="124"/>
      <c r="H156" s="85">
        <f t="shared" si="58"/>
        <v>0</v>
      </c>
      <c r="I156" s="85">
        <f t="shared" si="59"/>
        <v>0</v>
      </c>
    </row>
    <row r="157" spans="1:9" x14ac:dyDescent="0.25">
      <c r="A157" s="125"/>
      <c r="B157" s="122"/>
      <c r="C157" s="123">
        <v>52</v>
      </c>
      <c r="D157" s="123" t="s">
        <v>43</v>
      </c>
      <c r="E157" s="124"/>
      <c r="F157" s="124">
        <v>3900</v>
      </c>
      <c r="G157" s="124">
        <v>2200</v>
      </c>
      <c r="H157" s="85"/>
      <c r="I157" s="85">
        <f t="shared" si="59"/>
        <v>56.410256410256409</v>
      </c>
    </row>
    <row r="158" spans="1:9" x14ac:dyDescent="0.25">
      <c r="A158" s="208" t="s">
        <v>117</v>
      </c>
      <c r="B158" s="209"/>
      <c r="C158" s="209"/>
      <c r="D158" s="210"/>
      <c r="E158" s="154">
        <f t="shared" ref="E158" si="71">SUM(E64,E141)</f>
        <v>281049.04567987256</v>
      </c>
      <c r="F158" s="154">
        <f t="shared" ref="F158" si="72">SUM(F64,F141)</f>
        <v>561028</v>
      </c>
      <c r="G158" s="154">
        <f>SUM(G64,G141)</f>
        <v>298386.38</v>
      </c>
      <c r="H158" s="85">
        <f t="shared" si="58"/>
        <v>106.168793164975</v>
      </c>
      <c r="I158" s="85">
        <f t="shared" si="59"/>
        <v>53.1856484881325</v>
      </c>
    </row>
    <row r="159" spans="1:9" x14ac:dyDescent="0.25">
      <c r="E159" s="185"/>
      <c r="F159" s="185"/>
      <c r="G159" s="185"/>
    </row>
  </sheetData>
  <mergeCells count="8">
    <mergeCell ref="A1:H1"/>
    <mergeCell ref="A63:D63"/>
    <mergeCell ref="A158:D158"/>
    <mergeCell ref="A4:G4"/>
    <mergeCell ref="A60:G60"/>
    <mergeCell ref="A2:G2"/>
    <mergeCell ref="A3:G3"/>
    <mergeCell ref="A7:D7"/>
  </mergeCells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D17" sqref="D17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8" ht="42" customHeight="1" x14ac:dyDescent="0.25">
      <c r="A1" s="218" t="s">
        <v>153</v>
      </c>
      <c r="B1" s="218"/>
      <c r="C1" s="218"/>
      <c r="D1" s="218"/>
      <c r="E1" s="218"/>
      <c r="F1" s="218"/>
      <c r="G1" s="218"/>
      <c r="H1" s="218"/>
    </row>
    <row r="2" spans="1:8" ht="18" customHeight="1" x14ac:dyDescent="0.25">
      <c r="A2" s="46"/>
      <c r="B2" s="46"/>
      <c r="C2" s="46"/>
      <c r="D2" s="46"/>
      <c r="E2" s="7"/>
      <c r="F2" s="7"/>
    </row>
    <row r="3" spans="1:8" ht="15.75" x14ac:dyDescent="0.25">
      <c r="A3" s="199" t="s">
        <v>29</v>
      </c>
      <c r="B3" s="199"/>
      <c r="C3" s="199"/>
      <c r="D3" s="216"/>
      <c r="E3" s="7"/>
      <c r="F3" s="7"/>
    </row>
    <row r="4" spans="1:8" ht="18.75" x14ac:dyDescent="0.25">
      <c r="A4" s="46"/>
      <c r="B4" s="46"/>
      <c r="C4" s="46"/>
      <c r="D4" s="60"/>
      <c r="E4" s="7"/>
      <c r="F4" s="7"/>
    </row>
    <row r="5" spans="1:8" ht="18" customHeight="1" x14ac:dyDescent="0.25">
      <c r="A5" s="199" t="s">
        <v>13</v>
      </c>
      <c r="B5" s="200"/>
      <c r="C5" s="200"/>
      <c r="D5" s="200"/>
      <c r="E5" s="7"/>
      <c r="F5" s="7"/>
    </row>
    <row r="6" spans="1:8" ht="18.75" x14ac:dyDescent="0.25">
      <c r="A6" s="46"/>
      <c r="B6" s="46"/>
      <c r="C6" s="46"/>
      <c r="D6" s="60"/>
      <c r="E6" s="7"/>
      <c r="F6" s="7"/>
    </row>
    <row r="7" spans="1:8" ht="15.75" x14ac:dyDescent="0.25">
      <c r="A7" s="199" t="s">
        <v>22</v>
      </c>
      <c r="B7" s="217"/>
      <c r="C7" s="217"/>
      <c r="D7" s="217"/>
      <c r="E7" s="7"/>
      <c r="F7" s="7"/>
    </row>
    <row r="8" spans="1:8" ht="18.75" x14ac:dyDescent="0.25">
      <c r="A8" s="46"/>
      <c r="B8" s="46"/>
      <c r="C8" s="46"/>
      <c r="D8" s="60"/>
      <c r="E8" s="7"/>
      <c r="F8" s="7"/>
    </row>
    <row r="9" spans="1:8" x14ac:dyDescent="0.25">
      <c r="A9" s="9" t="s">
        <v>23</v>
      </c>
      <c r="B9" s="9" t="s">
        <v>156</v>
      </c>
      <c r="C9" s="9" t="s">
        <v>41</v>
      </c>
      <c r="D9" s="9" t="s">
        <v>155</v>
      </c>
      <c r="E9" s="47" t="s">
        <v>157</v>
      </c>
      <c r="F9" s="47" t="s">
        <v>157</v>
      </c>
    </row>
    <row r="10" spans="1:8" s="1" customFormat="1" ht="11.25" x14ac:dyDescent="0.2">
      <c r="A10" s="61">
        <v>1</v>
      </c>
      <c r="B10" s="58">
        <v>2</v>
      </c>
      <c r="C10" s="58">
        <v>3</v>
      </c>
      <c r="D10" s="58">
        <v>4</v>
      </c>
      <c r="E10" s="59" t="s">
        <v>159</v>
      </c>
      <c r="F10" s="59" t="s">
        <v>160</v>
      </c>
    </row>
    <row r="11" spans="1:8" ht="15.75" customHeight="1" x14ac:dyDescent="0.25">
      <c r="A11" s="48" t="s">
        <v>24</v>
      </c>
      <c r="B11" s="25">
        <f t="shared" ref="B11:D11" si="0">B12</f>
        <v>280896.34000000003</v>
      </c>
      <c r="C11" s="25">
        <f t="shared" si="0"/>
        <v>543598</v>
      </c>
      <c r="D11" s="25">
        <f t="shared" si="0"/>
        <v>291954.44</v>
      </c>
      <c r="E11" s="85">
        <f>D11/B11*100</f>
        <v>103.9367191469992</v>
      </c>
      <c r="F11" s="85">
        <f>D11/C11*100</f>
        <v>53.707784061015673</v>
      </c>
    </row>
    <row r="12" spans="1:8" ht="15.75" customHeight="1" x14ac:dyDescent="0.25">
      <c r="A12" s="48" t="s">
        <v>110</v>
      </c>
      <c r="B12" s="25">
        <f t="shared" ref="B12:D12" si="1">SUM(B13,B14,B15)</f>
        <v>280896.34000000003</v>
      </c>
      <c r="C12" s="25">
        <f t="shared" si="1"/>
        <v>543598</v>
      </c>
      <c r="D12" s="25">
        <f t="shared" si="1"/>
        <v>291954.44</v>
      </c>
      <c r="E12" s="85">
        <f t="shared" ref="E12:E13" si="2">D12/B12*100</f>
        <v>103.9367191469992</v>
      </c>
      <c r="F12" s="85">
        <f t="shared" ref="F12:F13" si="3">D12/C12*100</f>
        <v>53.707784061015673</v>
      </c>
    </row>
    <row r="13" spans="1:8" x14ac:dyDescent="0.25">
      <c r="A13" s="53" t="s">
        <v>111</v>
      </c>
      <c r="B13" s="90">
        <v>274051</v>
      </c>
      <c r="C13" s="90">
        <v>529168</v>
      </c>
      <c r="D13" s="90">
        <v>278430.62</v>
      </c>
      <c r="E13" s="85">
        <f t="shared" si="2"/>
        <v>101.59810400253969</v>
      </c>
      <c r="F13" s="85">
        <f t="shared" si="3"/>
        <v>52.616677501285039</v>
      </c>
    </row>
    <row r="14" spans="1:8" x14ac:dyDescent="0.25">
      <c r="A14" s="62" t="s">
        <v>112</v>
      </c>
      <c r="B14" s="90">
        <v>6845.34</v>
      </c>
      <c r="C14" s="90">
        <v>14430</v>
      </c>
      <c r="D14" s="91">
        <v>13523.82</v>
      </c>
      <c r="E14" s="85">
        <f>D14/B14*100</f>
        <v>197.56242933148681</v>
      </c>
      <c r="F14" s="85">
        <f>D14/C14*100</f>
        <v>93.720166320166314</v>
      </c>
    </row>
    <row r="15" spans="1:8" ht="29.25" customHeight="1" x14ac:dyDescent="0.25">
      <c r="A15" s="62" t="s">
        <v>113</v>
      </c>
      <c r="B15" s="90"/>
      <c r="C15" s="90"/>
      <c r="D15" s="90"/>
      <c r="E15" s="85"/>
      <c r="F15" s="85"/>
    </row>
  </sheetData>
  <mergeCells count="4">
    <mergeCell ref="A3:D3"/>
    <mergeCell ref="A5:D5"/>
    <mergeCell ref="A7:D7"/>
    <mergeCell ref="A1:H1"/>
  </mergeCells>
  <pageMargins left="0.7" right="0.7" top="0.75" bottom="0.75" header="0.3" footer="0.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sqref="A1:H1"/>
    </sheetView>
  </sheetViews>
  <sheetFormatPr defaultRowHeight="15" x14ac:dyDescent="0.25"/>
  <cols>
    <col min="1" max="1" width="7.42578125" style="7" bestFit="1" customWidth="1"/>
    <col min="2" max="2" width="8.42578125" style="7" bestFit="1" customWidth="1"/>
    <col min="3" max="3" width="5.42578125" style="7" bestFit="1" customWidth="1"/>
    <col min="4" max="7" width="25.28515625" style="7" customWidth="1"/>
    <col min="8" max="16384" width="9.140625" style="7"/>
  </cols>
  <sheetData>
    <row r="1" spans="1:9" ht="42" customHeight="1" x14ac:dyDescent="0.25">
      <c r="A1" s="218" t="s">
        <v>153</v>
      </c>
      <c r="B1" s="218"/>
      <c r="C1" s="218"/>
      <c r="D1" s="218"/>
      <c r="E1" s="218"/>
      <c r="F1" s="218"/>
      <c r="G1" s="218"/>
      <c r="H1" s="218"/>
    </row>
    <row r="2" spans="1:9" ht="18" customHeight="1" x14ac:dyDescent="0.25">
      <c r="A2" s="46"/>
      <c r="B2" s="46"/>
      <c r="C2" s="46"/>
      <c r="D2" s="46"/>
      <c r="E2" s="46"/>
      <c r="F2" s="46"/>
      <c r="G2" s="46"/>
    </row>
    <row r="3" spans="1:9" ht="15.75" x14ac:dyDescent="0.25">
      <c r="A3" s="199" t="s">
        <v>29</v>
      </c>
      <c r="B3" s="199"/>
      <c r="C3" s="199"/>
      <c r="D3" s="199"/>
      <c r="E3" s="199"/>
      <c r="F3" s="199"/>
      <c r="G3" s="199"/>
    </row>
    <row r="4" spans="1:9" ht="18.75" x14ac:dyDescent="0.25">
      <c r="A4" s="46"/>
      <c r="B4" s="46"/>
      <c r="C4" s="46"/>
      <c r="D4" s="46"/>
      <c r="E4" s="46"/>
      <c r="F4" s="46"/>
      <c r="G4" s="46"/>
    </row>
    <row r="5" spans="1:9" ht="18" customHeight="1" x14ac:dyDescent="0.25">
      <c r="A5" s="199" t="s">
        <v>25</v>
      </c>
      <c r="B5" s="200"/>
      <c r="C5" s="200"/>
      <c r="D5" s="200"/>
      <c r="E5" s="200"/>
      <c r="F5" s="200"/>
      <c r="G5" s="200"/>
    </row>
    <row r="6" spans="1:9" ht="18.75" x14ac:dyDescent="0.25">
      <c r="A6" s="46"/>
      <c r="B6" s="46"/>
      <c r="C6" s="46"/>
      <c r="D6" s="46"/>
      <c r="E6" s="46"/>
      <c r="F6" s="46"/>
      <c r="G6" s="46"/>
    </row>
    <row r="7" spans="1:9" x14ac:dyDescent="0.25">
      <c r="A7" s="9" t="s">
        <v>14</v>
      </c>
      <c r="B7" s="8" t="s">
        <v>15</v>
      </c>
      <c r="C7" s="8" t="s">
        <v>16</v>
      </c>
      <c r="D7" s="8" t="s">
        <v>47</v>
      </c>
      <c r="E7" s="9" t="s">
        <v>156</v>
      </c>
      <c r="F7" s="9" t="s">
        <v>41</v>
      </c>
      <c r="G7" s="9" t="s">
        <v>155</v>
      </c>
      <c r="H7" s="47" t="s">
        <v>157</v>
      </c>
      <c r="I7" s="47" t="s">
        <v>157</v>
      </c>
    </row>
    <row r="8" spans="1:9" s="45" customFormat="1" ht="12" x14ac:dyDescent="0.2">
      <c r="A8" s="219">
        <v>1</v>
      </c>
      <c r="B8" s="219"/>
      <c r="C8" s="219"/>
      <c r="D8" s="219"/>
      <c r="E8" s="43">
        <v>2</v>
      </c>
      <c r="F8" s="43">
        <v>3</v>
      </c>
      <c r="G8" s="43">
        <v>4</v>
      </c>
      <c r="H8" s="44" t="s">
        <v>159</v>
      </c>
      <c r="I8" s="44" t="s">
        <v>160</v>
      </c>
    </row>
    <row r="9" spans="1:9" ht="25.5" x14ac:dyDescent="0.25">
      <c r="A9" s="48">
        <v>8</v>
      </c>
      <c r="B9" s="48"/>
      <c r="C9" s="48"/>
      <c r="D9" s="48" t="s">
        <v>26</v>
      </c>
      <c r="E9" s="12"/>
      <c r="F9" s="49"/>
      <c r="G9" s="49"/>
      <c r="H9" s="6"/>
      <c r="I9" s="6"/>
    </row>
    <row r="10" spans="1:9" x14ac:dyDescent="0.25">
      <c r="A10" s="48"/>
      <c r="B10" s="50">
        <v>84</v>
      </c>
      <c r="C10" s="50"/>
      <c r="D10" s="50" t="s">
        <v>33</v>
      </c>
      <c r="E10" s="12"/>
      <c r="F10" s="49"/>
      <c r="G10" s="49"/>
      <c r="H10" s="6"/>
      <c r="I10" s="6"/>
    </row>
    <row r="11" spans="1:9" ht="25.5" x14ac:dyDescent="0.25">
      <c r="A11" s="51"/>
      <c r="B11" s="51"/>
      <c r="C11" s="52">
        <v>81</v>
      </c>
      <c r="D11" s="53" t="s">
        <v>34</v>
      </c>
      <c r="E11" s="12"/>
      <c r="F11" s="49"/>
      <c r="G11" s="49"/>
      <c r="H11" s="6"/>
      <c r="I11" s="6"/>
    </row>
    <row r="12" spans="1:9" ht="25.5" x14ac:dyDescent="0.25">
      <c r="A12" s="54">
        <v>5</v>
      </c>
      <c r="B12" s="55"/>
      <c r="C12" s="55"/>
      <c r="D12" s="56" t="s">
        <v>27</v>
      </c>
      <c r="E12" s="12"/>
      <c r="F12" s="49"/>
      <c r="G12" s="49"/>
      <c r="H12" s="6"/>
      <c r="I12" s="6"/>
    </row>
    <row r="13" spans="1:9" ht="25.5" x14ac:dyDescent="0.25">
      <c r="A13" s="50"/>
      <c r="B13" s="50">
        <v>54</v>
      </c>
      <c r="C13" s="50"/>
      <c r="D13" s="57" t="s">
        <v>35</v>
      </c>
      <c r="E13" s="12"/>
      <c r="F13" s="49"/>
      <c r="G13" s="49"/>
      <c r="H13" s="6"/>
      <c r="I13" s="6"/>
    </row>
    <row r="14" spans="1:9" x14ac:dyDescent="0.25">
      <c r="A14" s="50"/>
      <c r="B14" s="50"/>
      <c r="C14" s="52">
        <v>11</v>
      </c>
      <c r="D14" s="52" t="s">
        <v>18</v>
      </c>
      <c r="E14" s="12"/>
      <c r="F14" s="49"/>
      <c r="G14" s="49"/>
      <c r="H14" s="6"/>
      <c r="I14" s="6"/>
    </row>
    <row r="15" spans="1:9" x14ac:dyDescent="0.25">
      <c r="A15" s="50"/>
      <c r="B15" s="50"/>
      <c r="C15" s="52">
        <v>31</v>
      </c>
      <c r="D15" s="52" t="s">
        <v>36</v>
      </c>
      <c r="E15" s="12"/>
      <c r="F15" s="49"/>
      <c r="G15" s="49"/>
      <c r="H15" s="6"/>
      <c r="I15" s="6"/>
    </row>
  </sheetData>
  <mergeCells count="4">
    <mergeCell ref="A3:G3"/>
    <mergeCell ref="A5:G5"/>
    <mergeCell ref="A8:D8"/>
    <mergeCell ref="A1:H1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0"/>
  <sheetViews>
    <sheetView tabSelected="1" zoomScaleNormal="100" workbookViewId="0">
      <selection activeCell="K11" sqref="K11"/>
    </sheetView>
  </sheetViews>
  <sheetFormatPr defaultRowHeight="15" x14ac:dyDescent="0.25"/>
  <cols>
    <col min="1" max="1" width="7.42578125" style="7" bestFit="1" customWidth="1"/>
    <col min="2" max="2" width="8.42578125" style="7" customWidth="1"/>
    <col min="3" max="3" width="8.7109375" style="7" customWidth="1"/>
    <col min="4" max="4" width="40.140625" style="7" customWidth="1"/>
    <col min="5" max="6" width="15.42578125" style="7" customWidth="1"/>
    <col min="7" max="7" width="9.140625" style="7"/>
  </cols>
  <sheetData>
    <row r="1" spans="1:8" ht="42" customHeight="1" x14ac:dyDescent="0.25">
      <c r="A1" s="218" t="s">
        <v>153</v>
      </c>
      <c r="B1" s="218"/>
      <c r="C1" s="218"/>
      <c r="D1" s="218"/>
      <c r="E1" s="218"/>
      <c r="F1" s="218"/>
      <c r="G1" s="218"/>
      <c r="H1" s="218"/>
    </row>
    <row r="2" spans="1:8" ht="18.75" x14ac:dyDescent="0.25">
      <c r="A2" s="92"/>
      <c r="B2" s="92"/>
      <c r="C2" s="92"/>
      <c r="D2" s="92"/>
      <c r="E2" s="92"/>
      <c r="F2" s="60"/>
    </row>
    <row r="3" spans="1:8" ht="18" customHeight="1" x14ac:dyDescent="0.25">
      <c r="A3" s="199" t="s">
        <v>28</v>
      </c>
      <c r="B3" s="200"/>
      <c r="C3" s="200"/>
      <c r="D3" s="200"/>
      <c r="E3" s="200"/>
      <c r="F3" s="200"/>
    </row>
    <row r="4" spans="1:8" ht="18.75" x14ac:dyDescent="0.25">
      <c r="A4" s="92"/>
      <c r="B4" s="92"/>
      <c r="C4" s="92"/>
      <c r="D4" s="92"/>
      <c r="E4" s="92"/>
      <c r="F4" s="60"/>
    </row>
    <row r="5" spans="1:8" ht="25.5" x14ac:dyDescent="0.25">
      <c r="A5" s="232" t="s">
        <v>30</v>
      </c>
      <c r="B5" s="233"/>
      <c r="C5" s="234"/>
      <c r="D5" s="8" t="s">
        <v>31</v>
      </c>
      <c r="E5" s="8" t="s">
        <v>107</v>
      </c>
      <c r="F5" s="8" t="s">
        <v>155</v>
      </c>
      <c r="G5" s="9" t="s">
        <v>158</v>
      </c>
    </row>
    <row r="6" spans="1:8" x14ac:dyDescent="0.25">
      <c r="A6" s="10"/>
      <c r="B6" s="2"/>
      <c r="C6" s="3"/>
      <c r="D6" s="11">
        <v>1</v>
      </c>
      <c r="E6" s="11">
        <v>2</v>
      </c>
      <c r="F6" s="11">
        <v>3</v>
      </c>
      <c r="G6" s="5" t="s">
        <v>161</v>
      </c>
      <c r="H6" s="4"/>
    </row>
    <row r="7" spans="1:8" x14ac:dyDescent="0.25">
      <c r="A7" s="223" t="s">
        <v>109</v>
      </c>
      <c r="B7" s="224"/>
      <c r="C7" s="225"/>
      <c r="D7" s="95" t="s">
        <v>37</v>
      </c>
      <c r="E7" s="12"/>
      <c r="F7" s="12"/>
      <c r="G7" s="6"/>
    </row>
    <row r="8" spans="1:8" x14ac:dyDescent="0.25">
      <c r="A8" s="223" t="s">
        <v>139</v>
      </c>
      <c r="B8" s="224"/>
      <c r="C8" s="225"/>
      <c r="D8" s="95" t="s">
        <v>18</v>
      </c>
      <c r="E8" s="12"/>
      <c r="F8" s="12"/>
      <c r="G8" s="6"/>
    </row>
    <row r="9" spans="1:8" x14ac:dyDescent="0.25">
      <c r="A9" s="226">
        <v>11</v>
      </c>
      <c r="B9" s="227"/>
      <c r="C9" s="228"/>
      <c r="D9" s="93" t="s">
        <v>18</v>
      </c>
      <c r="E9" s="12"/>
      <c r="F9" s="12"/>
      <c r="G9" s="6"/>
    </row>
    <row r="10" spans="1:8" x14ac:dyDescent="0.25">
      <c r="A10" s="229">
        <v>3</v>
      </c>
      <c r="B10" s="230"/>
      <c r="C10" s="231"/>
      <c r="D10" s="94" t="s">
        <v>20</v>
      </c>
      <c r="E10" s="13">
        <f t="shared" ref="E10:F10" si="0">SUM(E11+E21)</f>
        <v>1274.1389607804101</v>
      </c>
      <c r="F10" s="13">
        <f t="shared" si="0"/>
        <v>530.9</v>
      </c>
      <c r="G10" s="85">
        <f>F10/E10*100</f>
        <v>41.667354687499994</v>
      </c>
    </row>
    <row r="11" spans="1:8" x14ac:dyDescent="0.25">
      <c r="A11" s="220">
        <v>31</v>
      </c>
      <c r="B11" s="221"/>
      <c r="C11" s="222"/>
      <c r="D11" s="14" t="s">
        <v>21</v>
      </c>
      <c r="E11" s="15">
        <f t="shared" ref="E11:F11" si="1">SUM(E12+E16+E18)</f>
        <v>1274.1389607804101</v>
      </c>
      <c r="F11" s="15">
        <f t="shared" si="1"/>
        <v>530.9</v>
      </c>
      <c r="G11" s="85">
        <f t="shared" ref="G11:G27" si="2">F11/E11*100</f>
        <v>41.667354687499994</v>
      </c>
    </row>
    <row r="12" spans="1:8" x14ac:dyDescent="0.25">
      <c r="A12" s="16">
        <v>311</v>
      </c>
      <c r="B12" s="17"/>
      <c r="C12" s="18"/>
      <c r="D12" s="19" t="s">
        <v>48</v>
      </c>
      <c r="E12" s="20">
        <f t="shared" ref="E12:F12" si="3">SUM(E13:E15)</f>
        <v>1093.6359413365187</v>
      </c>
      <c r="F12" s="20">
        <f t="shared" si="3"/>
        <v>455.7</v>
      </c>
      <c r="G12" s="85">
        <f t="shared" si="2"/>
        <v>41.668345266990286</v>
      </c>
    </row>
    <row r="13" spans="1:8" x14ac:dyDescent="0.25">
      <c r="A13" s="21">
        <v>3111</v>
      </c>
      <c r="B13" s="22"/>
      <c r="C13" s="23"/>
      <c r="D13" s="24" t="s">
        <v>60</v>
      </c>
      <c r="E13" s="25">
        <f>8240/7.5345</f>
        <v>1093.6359413365187</v>
      </c>
      <c r="F13" s="25">
        <v>455.7</v>
      </c>
      <c r="G13" s="85">
        <f t="shared" si="2"/>
        <v>41.668345266990286</v>
      </c>
    </row>
    <row r="14" spans="1:8" x14ac:dyDescent="0.25">
      <c r="A14" s="21">
        <v>3113</v>
      </c>
      <c r="B14" s="22"/>
      <c r="C14" s="23"/>
      <c r="D14" s="24" t="s">
        <v>61</v>
      </c>
      <c r="E14" s="25"/>
      <c r="F14" s="25"/>
      <c r="G14" s="85"/>
    </row>
    <row r="15" spans="1:8" x14ac:dyDescent="0.25">
      <c r="A15" s="21">
        <v>3114</v>
      </c>
      <c r="B15" s="22"/>
      <c r="C15" s="23"/>
      <c r="D15" s="24" t="s">
        <v>62</v>
      </c>
      <c r="E15" s="25"/>
      <c r="F15" s="25"/>
      <c r="G15" s="85"/>
    </row>
    <row r="16" spans="1:8" x14ac:dyDescent="0.25">
      <c r="A16" s="16">
        <v>312</v>
      </c>
      <c r="B16" s="17"/>
      <c r="C16" s="18"/>
      <c r="D16" s="19" t="s">
        <v>63</v>
      </c>
      <c r="E16" s="20">
        <f t="shared" ref="E16:F16" si="4">SUM(E17)</f>
        <v>0</v>
      </c>
      <c r="F16" s="20">
        <f t="shared" si="4"/>
        <v>0</v>
      </c>
      <c r="G16" s="85"/>
    </row>
    <row r="17" spans="1:8" x14ac:dyDescent="0.25">
      <c r="A17" s="21">
        <v>3121</v>
      </c>
      <c r="B17" s="22"/>
      <c r="C17" s="23"/>
      <c r="D17" s="24" t="s">
        <v>64</v>
      </c>
      <c r="E17" s="25"/>
      <c r="F17" s="25"/>
      <c r="G17" s="85"/>
    </row>
    <row r="18" spans="1:8" x14ac:dyDescent="0.25">
      <c r="A18" s="16">
        <v>313</v>
      </c>
      <c r="B18" s="17"/>
      <c r="C18" s="18"/>
      <c r="D18" s="19" t="s">
        <v>49</v>
      </c>
      <c r="E18" s="20">
        <f t="shared" ref="E18:F18" si="5">SUM(E19:E20)</f>
        <v>180.50301944389142</v>
      </c>
      <c r="F18" s="20">
        <f t="shared" si="5"/>
        <v>75.2</v>
      </c>
      <c r="G18" s="85">
        <f t="shared" si="2"/>
        <v>41.661352941176474</v>
      </c>
    </row>
    <row r="19" spans="1:8" x14ac:dyDescent="0.25">
      <c r="A19" s="21">
        <v>3131</v>
      </c>
      <c r="B19" s="22"/>
      <c r="C19" s="23"/>
      <c r="D19" s="24" t="s">
        <v>65</v>
      </c>
      <c r="E19" s="25"/>
      <c r="F19" s="25"/>
      <c r="G19" s="85"/>
    </row>
    <row r="20" spans="1:8" ht="25.5" x14ac:dyDescent="0.25">
      <c r="A20" s="21">
        <v>3132</v>
      </c>
      <c r="B20" s="22"/>
      <c r="C20" s="23"/>
      <c r="D20" s="24" t="s">
        <v>66</v>
      </c>
      <c r="E20" s="25">
        <f t="shared" ref="E20" si="6">1360/7.5345</f>
        <v>180.50301944389142</v>
      </c>
      <c r="F20" s="25">
        <v>75.2</v>
      </c>
      <c r="G20" s="85">
        <f t="shared" si="2"/>
        <v>41.661352941176474</v>
      </c>
    </row>
    <row r="21" spans="1:8" x14ac:dyDescent="0.25">
      <c r="A21" s="220">
        <v>32</v>
      </c>
      <c r="B21" s="221"/>
      <c r="C21" s="222"/>
      <c r="D21" s="14" t="s">
        <v>32</v>
      </c>
      <c r="E21" s="26">
        <f t="shared" ref="E21:F21" si="7">SUM(E22)</f>
        <v>0</v>
      </c>
      <c r="F21" s="26">
        <f t="shared" si="7"/>
        <v>0</v>
      </c>
      <c r="G21" s="85"/>
    </row>
    <row r="22" spans="1:8" x14ac:dyDescent="0.25">
      <c r="A22" s="16">
        <v>321</v>
      </c>
      <c r="B22" s="17"/>
      <c r="C22" s="18"/>
      <c r="D22" s="19" t="s">
        <v>50</v>
      </c>
      <c r="E22" s="27">
        <f t="shared" ref="E22:F22" si="8">SUM(E23:E26)</f>
        <v>0</v>
      </c>
      <c r="F22" s="27">
        <f t="shared" si="8"/>
        <v>0</v>
      </c>
      <c r="G22" s="85"/>
    </row>
    <row r="23" spans="1:8" x14ac:dyDescent="0.25">
      <c r="A23" s="21">
        <v>3211</v>
      </c>
      <c r="B23" s="22"/>
      <c r="C23" s="23"/>
      <c r="D23" s="24" t="s">
        <v>67</v>
      </c>
      <c r="E23" s="12"/>
      <c r="F23" s="12"/>
      <c r="G23" s="85"/>
    </row>
    <row r="24" spans="1:8" ht="25.5" x14ac:dyDescent="0.25">
      <c r="A24" s="21">
        <v>3212</v>
      </c>
      <c r="B24" s="22"/>
      <c r="C24" s="23"/>
      <c r="D24" s="24" t="s">
        <v>138</v>
      </c>
      <c r="E24" s="12"/>
      <c r="F24" s="12"/>
      <c r="G24" s="85"/>
    </row>
    <row r="25" spans="1:8" x14ac:dyDescent="0.25">
      <c r="A25" s="21">
        <v>3213</v>
      </c>
      <c r="B25" s="22"/>
      <c r="C25" s="23"/>
      <c r="D25" s="24" t="s">
        <v>69</v>
      </c>
      <c r="E25" s="12"/>
      <c r="F25" s="12"/>
      <c r="G25" s="85"/>
    </row>
    <row r="26" spans="1:8" ht="25.5" x14ac:dyDescent="0.25">
      <c r="A26" s="21">
        <v>3214</v>
      </c>
      <c r="B26" s="22"/>
      <c r="C26" s="23"/>
      <c r="D26" s="24" t="s">
        <v>70</v>
      </c>
      <c r="E26" s="12"/>
      <c r="F26" s="12"/>
      <c r="G26" s="85"/>
    </row>
    <row r="27" spans="1:8" x14ac:dyDescent="0.25">
      <c r="A27" s="21"/>
      <c r="B27" s="22"/>
      <c r="C27" s="23"/>
      <c r="D27" s="28" t="s">
        <v>106</v>
      </c>
      <c r="E27" s="38">
        <f t="shared" ref="E27:F27" si="9">SUM(E10)</f>
        <v>1274.1389607804101</v>
      </c>
      <c r="F27" s="38">
        <f t="shared" si="9"/>
        <v>530.9</v>
      </c>
      <c r="G27" s="85">
        <f t="shared" si="2"/>
        <v>41.667354687499994</v>
      </c>
    </row>
    <row r="28" spans="1:8" x14ac:dyDescent="0.25">
      <c r="A28" s="21"/>
      <c r="B28" s="22"/>
      <c r="C28" s="23"/>
      <c r="D28" s="24"/>
      <c r="E28" s="12"/>
      <c r="F28" s="12"/>
    </row>
    <row r="29" spans="1:8" ht="25.5" x14ac:dyDescent="0.25">
      <c r="A29" s="232" t="s">
        <v>30</v>
      </c>
      <c r="B29" s="233"/>
      <c r="C29" s="234"/>
      <c r="D29" s="8" t="s">
        <v>31</v>
      </c>
      <c r="E29" s="8" t="s">
        <v>107</v>
      </c>
      <c r="F29" s="8" t="s">
        <v>108</v>
      </c>
      <c r="G29" s="9" t="s">
        <v>158</v>
      </c>
    </row>
    <row r="30" spans="1:8" x14ac:dyDescent="0.25">
      <c r="A30" s="10"/>
      <c r="B30" s="2"/>
      <c r="C30" s="3"/>
      <c r="D30" s="11">
        <v>1</v>
      </c>
      <c r="E30" s="11">
        <v>2</v>
      </c>
      <c r="F30" s="11">
        <v>3</v>
      </c>
      <c r="G30" s="33" t="s">
        <v>161</v>
      </c>
      <c r="H30" s="4"/>
    </row>
    <row r="31" spans="1:8" ht="15" customHeight="1" x14ac:dyDescent="0.25">
      <c r="A31" s="223" t="s">
        <v>109</v>
      </c>
      <c r="B31" s="224"/>
      <c r="C31" s="225"/>
      <c r="D31" s="95" t="s">
        <v>37</v>
      </c>
      <c r="E31" s="12"/>
      <c r="F31" s="12"/>
      <c r="G31" s="6"/>
    </row>
    <row r="32" spans="1:8" ht="14.25" customHeight="1" x14ac:dyDescent="0.25">
      <c r="A32" s="223" t="s">
        <v>140</v>
      </c>
      <c r="B32" s="224"/>
      <c r="C32" s="225"/>
      <c r="D32" s="95" t="s">
        <v>147</v>
      </c>
      <c r="E32" s="12"/>
      <c r="F32" s="12"/>
      <c r="G32" s="6"/>
    </row>
    <row r="33" spans="1:7" ht="15" customHeight="1" x14ac:dyDescent="0.25">
      <c r="A33" s="226">
        <v>31</v>
      </c>
      <c r="B33" s="227"/>
      <c r="C33" s="228"/>
      <c r="D33" s="93" t="s">
        <v>141</v>
      </c>
      <c r="E33" s="12"/>
      <c r="F33" s="12"/>
      <c r="G33" s="6"/>
    </row>
    <row r="34" spans="1:7" x14ac:dyDescent="0.25">
      <c r="A34" s="229">
        <v>3</v>
      </c>
      <c r="B34" s="230"/>
      <c r="C34" s="231"/>
      <c r="D34" s="94" t="s">
        <v>20</v>
      </c>
      <c r="E34" s="29">
        <f t="shared" ref="E34:F34" si="10">SUM(E35)</f>
        <v>730</v>
      </c>
      <c r="F34" s="29">
        <f t="shared" si="10"/>
        <v>940.39</v>
      </c>
      <c r="G34" s="85">
        <f>F34/E34*100</f>
        <v>128.82054794520548</v>
      </c>
    </row>
    <row r="35" spans="1:7" x14ac:dyDescent="0.25">
      <c r="A35" s="220">
        <v>32</v>
      </c>
      <c r="B35" s="221"/>
      <c r="C35" s="222"/>
      <c r="D35" s="14" t="s">
        <v>32</v>
      </c>
      <c r="E35" s="30">
        <f t="shared" ref="E35" si="11">SUM(E36+E41+E49)</f>
        <v>730</v>
      </c>
      <c r="F35" s="30">
        <f>SUM(F36+F41+F49+F59)</f>
        <v>940.39</v>
      </c>
      <c r="G35" s="85">
        <f>F35/E35*100</f>
        <v>128.82054794520548</v>
      </c>
    </row>
    <row r="36" spans="1:7" x14ac:dyDescent="0.25">
      <c r="A36" s="16">
        <v>321</v>
      </c>
      <c r="B36" s="17"/>
      <c r="C36" s="18"/>
      <c r="D36" s="19" t="s">
        <v>50</v>
      </c>
      <c r="E36" s="31">
        <f t="shared" ref="E36:F36" si="12">SUM(E37:E40)</f>
        <v>0</v>
      </c>
      <c r="F36" s="31">
        <f t="shared" si="12"/>
        <v>0</v>
      </c>
      <c r="G36" s="85"/>
    </row>
    <row r="37" spans="1:7" x14ac:dyDescent="0.25">
      <c r="A37" s="21">
        <v>3211</v>
      </c>
      <c r="B37" s="22"/>
      <c r="C37" s="23"/>
      <c r="D37" s="24" t="s">
        <v>67</v>
      </c>
      <c r="E37" s="32"/>
      <c r="F37" s="32"/>
      <c r="G37" s="85"/>
    </row>
    <row r="38" spans="1:7" ht="25.5" x14ac:dyDescent="0.25">
      <c r="A38" s="21">
        <v>3212</v>
      </c>
      <c r="B38" s="22"/>
      <c r="C38" s="23"/>
      <c r="D38" s="24" t="s">
        <v>138</v>
      </c>
      <c r="E38" s="32"/>
      <c r="F38" s="32"/>
      <c r="G38" s="85"/>
    </row>
    <row r="39" spans="1:7" x14ac:dyDescent="0.25">
      <c r="A39" s="21">
        <v>3213</v>
      </c>
      <c r="B39" s="22"/>
      <c r="C39" s="23"/>
      <c r="D39" s="24" t="s">
        <v>69</v>
      </c>
      <c r="E39" s="32"/>
      <c r="F39" s="32"/>
      <c r="G39" s="85"/>
    </row>
    <row r="40" spans="1:7" ht="25.5" x14ac:dyDescent="0.25">
      <c r="A40" s="21">
        <v>3214</v>
      </c>
      <c r="B40" s="22"/>
      <c r="C40" s="23"/>
      <c r="D40" s="24" t="s">
        <v>70</v>
      </c>
      <c r="E40" s="32"/>
      <c r="F40" s="32"/>
      <c r="G40" s="85"/>
    </row>
    <row r="41" spans="1:7" x14ac:dyDescent="0.25">
      <c r="A41" s="16">
        <v>322</v>
      </c>
      <c r="B41" s="17"/>
      <c r="C41" s="18"/>
      <c r="D41" s="19" t="s">
        <v>51</v>
      </c>
      <c r="E41" s="31">
        <f t="shared" ref="E41:F41" si="13">SUM(E42:E48)</f>
        <v>530</v>
      </c>
      <c r="F41" s="31">
        <f t="shared" si="13"/>
        <v>748.79</v>
      </c>
      <c r="G41" s="85">
        <f t="shared" ref="G41:G79" si="14">F41/E41*100</f>
        <v>141.28113207547167</v>
      </c>
    </row>
    <row r="42" spans="1:7" ht="25.5" x14ac:dyDescent="0.25">
      <c r="A42" s="21">
        <v>3221</v>
      </c>
      <c r="B42" s="22"/>
      <c r="C42" s="23"/>
      <c r="D42" s="24" t="s">
        <v>71</v>
      </c>
      <c r="E42" s="32"/>
      <c r="F42" s="32">
        <v>34.94</v>
      </c>
      <c r="G42" s="85"/>
    </row>
    <row r="43" spans="1:7" x14ac:dyDescent="0.25">
      <c r="A43" s="21">
        <v>3222</v>
      </c>
      <c r="B43" s="22"/>
      <c r="C43" s="23"/>
      <c r="D43" s="24" t="s">
        <v>72</v>
      </c>
      <c r="E43" s="32">
        <v>230</v>
      </c>
      <c r="F43" s="32">
        <v>713.85</v>
      </c>
      <c r="G43" s="85">
        <f t="shared" si="14"/>
        <v>310.36956521739131</v>
      </c>
    </row>
    <row r="44" spans="1:7" x14ac:dyDescent="0.25">
      <c r="A44" s="21">
        <v>3223</v>
      </c>
      <c r="B44" s="22"/>
      <c r="C44" s="23"/>
      <c r="D44" s="24" t="s">
        <v>73</v>
      </c>
      <c r="E44" s="32">
        <v>300</v>
      </c>
      <c r="F44" s="32"/>
      <c r="G44" s="85">
        <f t="shared" si="14"/>
        <v>0</v>
      </c>
    </row>
    <row r="45" spans="1:7" ht="25.5" x14ac:dyDescent="0.25">
      <c r="A45" s="21">
        <v>3224</v>
      </c>
      <c r="B45" s="22"/>
      <c r="C45" s="23"/>
      <c r="D45" s="24" t="s">
        <v>74</v>
      </c>
      <c r="E45" s="32"/>
      <c r="F45" s="32"/>
      <c r="G45" s="85"/>
    </row>
    <row r="46" spans="1:7" x14ac:dyDescent="0.25">
      <c r="A46" s="21">
        <v>3225</v>
      </c>
      <c r="B46" s="22"/>
      <c r="C46" s="23"/>
      <c r="D46" s="24" t="s">
        <v>75</v>
      </c>
      <c r="E46" s="32"/>
      <c r="F46" s="32"/>
      <c r="G46" s="85"/>
    </row>
    <row r="47" spans="1:7" ht="25.5" x14ac:dyDescent="0.25">
      <c r="A47" s="21">
        <v>3226</v>
      </c>
      <c r="B47" s="22"/>
      <c r="C47" s="23"/>
      <c r="D47" s="24" t="s">
        <v>76</v>
      </c>
      <c r="E47" s="32"/>
      <c r="F47" s="32"/>
      <c r="G47" s="85"/>
    </row>
    <row r="48" spans="1:7" ht="25.5" x14ac:dyDescent="0.25">
      <c r="A48" s="21">
        <v>3227</v>
      </c>
      <c r="B48" s="22"/>
      <c r="C48" s="23"/>
      <c r="D48" s="24" t="s">
        <v>77</v>
      </c>
      <c r="E48" s="32"/>
      <c r="F48" s="32"/>
      <c r="G48" s="85"/>
    </row>
    <row r="49" spans="1:7" x14ac:dyDescent="0.25">
      <c r="A49" s="16">
        <v>323</v>
      </c>
      <c r="B49" s="17"/>
      <c r="C49" s="18"/>
      <c r="D49" s="19" t="s">
        <v>52</v>
      </c>
      <c r="E49" s="31">
        <f t="shared" ref="E49:F49" si="15">SUM(E50:E58)</f>
        <v>200</v>
      </c>
      <c r="F49" s="31">
        <f t="shared" si="15"/>
        <v>40</v>
      </c>
      <c r="G49" s="85">
        <f t="shared" si="14"/>
        <v>20</v>
      </c>
    </row>
    <row r="50" spans="1:7" x14ac:dyDescent="0.25">
      <c r="A50" s="21">
        <v>3231</v>
      </c>
      <c r="B50" s="22"/>
      <c r="C50" s="23"/>
      <c r="D50" s="24" t="s">
        <v>78</v>
      </c>
      <c r="E50" s="32"/>
      <c r="F50" s="32"/>
      <c r="G50" s="85"/>
    </row>
    <row r="51" spans="1:7" ht="25.5" x14ac:dyDescent="0.25">
      <c r="A51" s="21">
        <v>3232</v>
      </c>
      <c r="B51" s="22"/>
      <c r="C51" s="23"/>
      <c r="D51" s="24" t="s">
        <v>79</v>
      </c>
      <c r="E51" s="32"/>
      <c r="F51" s="32"/>
      <c r="G51" s="85"/>
    </row>
    <row r="52" spans="1:7" x14ac:dyDescent="0.25">
      <c r="A52" s="21">
        <v>3233</v>
      </c>
      <c r="B52" s="22"/>
      <c r="C52" s="23"/>
      <c r="D52" s="24" t="s">
        <v>80</v>
      </c>
      <c r="E52" s="32"/>
      <c r="F52" s="32"/>
      <c r="G52" s="85"/>
    </row>
    <row r="53" spans="1:7" x14ac:dyDescent="0.25">
      <c r="A53" s="21">
        <v>3234</v>
      </c>
      <c r="B53" s="22"/>
      <c r="C53" s="23"/>
      <c r="D53" s="24" t="s">
        <v>81</v>
      </c>
      <c r="E53" s="32"/>
      <c r="F53" s="32"/>
      <c r="G53" s="85"/>
    </row>
    <row r="54" spans="1:7" x14ac:dyDescent="0.25">
      <c r="A54" s="21">
        <v>3235</v>
      </c>
      <c r="B54" s="22"/>
      <c r="C54" s="23"/>
      <c r="D54" s="24" t="s">
        <v>82</v>
      </c>
      <c r="E54" s="32"/>
      <c r="F54" s="32"/>
      <c r="G54" s="85"/>
    </row>
    <row r="55" spans="1:7" x14ac:dyDescent="0.25">
      <c r="A55" s="21">
        <v>3236</v>
      </c>
      <c r="B55" s="22"/>
      <c r="C55" s="23"/>
      <c r="D55" s="24" t="s">
        <v>83</v>
      </c>
      <c r="E55" s="32"/>
      <c r="F55" s="32"/>
      <c r="G55" s="85"/>
    </row>
    <row r="56" spans="1:7" x14ac:dyDescent="0.25">
      <c r="A56" s="21">
        <v>3237</v>
      </c>
      <c r="B56" s="22"/>
      <c r="C56" s="23"/>
      <c r="D56" s="24" t="s">
        <v>84</v>
      </c>
      <c r="E56" s="32"/>
      <c r="F56" s="32"/>
      <c r="G56" s="85"/>
    </row>
    <row r="57" spans="1:7" x14ac:dyDescent="0.25">
      <c r="A57" s="21">
        <v>3238</v>
      </c>
      <c r="B57" s="22"/>
      <c r="C57" s="23"/>
      <c r="D57" s="24" t="s">
        <v>85</v>
      </c>
      <c r="E57" s="32"/>
      <c r="F57" s="32"/>
      <c r="G57" s="85"/>
    </row>
    <row r="58" spans="1:7" x14ac:dyDescent="0.25">
      <c r="A58" s="21">
        <v>3239</v>
      </c>
      <c r="B58" s="22"/>
      <c r="C58" s="23"/>
      <c r="D58" s="24" t="s">
        <v>86</v>
      </c>
      <c r="E58" s="32">
        <v>200</v>
      </c>
      <c r="F58" s="32">
        <v>40</v>
      </c>
      <c r="G58" s="85">
        <f t="shared" si="14"/>
        <v>20</v>
      </c>
    </row>
    <row r="59" spans="1:7" ht="25.5" x14ac:dyDescent="0.25">
      <c r="A59" s="16">
        <v>329</v>
      </c>
      <c r="B59" s="17"/>
      <c r="C59" s="18"/>
      <c r="D59" s="19" t="s">
        <v>88</v>
      </c>
      <c r="E59" s="31">
        <f t="shared" ref="E59:F59" si="16">SUM(E60:E66)</f>
        <v>0</v>
      </c>
      <c r="F59" s="31">
        <f t="shared" si="16"/>
        <v>151.6</v>
      </c>
      <c r="G59" s="85"/>
    </row>
    <row r="60" spans="1:7" ht="38.25" x14ac:dyDescent="0.25">
      <c r="A60" s="21">
        <v>3291</v>
      </c>
      <c r="B60" s="22"/>
      <c r="C60" s="23"/>
      <c r="D60" s="24" t="s">
        <v>89</v>
      </c>
      <c r="E60" s="32"/>
      <c r="F60" s="32"/>
      <c r="G60" s="85"/>
    </row>
    <row r="61" spans="1:7" x14ac:dyDescent="0.25">
      <c r="A61" s="21">
        <v>3292</v>
      </c>
      <c r="B61" s="22"/>
      <c r="C61" s="23"/>
      <c r="D61" s="24" t="s">
        <v>90</v>
      </c>
      <c r="E61" s="32"/>
      <c r="F61" s="32"/>
      <c r="G61" s="85"/>
    </row>
    <row r="62" spans="1:7" x14ac:dyDescent="0.25">
      <c r="A62" s="21">
        <v>3293</v>
      </c>
      <c r="B62" s="22"/>
      <c r="C62" s="23"/>
      <c r="D62" s="24" t="s">
        <v>91</v>
      </c>
      <c r="E62" s="32"/>
      <c r="F62" s="32"/>
      <c r="G62" s="85"/>
    </row>
    <row r="63" spans="1:7" x14ac:dyDescent="0.25">
      <c r="A63" s="21">
        <v>3294</v>
      </c>
      <c r="B63" s="22"/>
      <c r="C63" s="23"/>
      <c r="D63" s="24" t="s">
        <v>92</v>
      </c>
      <c r="E63" s="32"/>
      <c r="F63" s="32"/>
      <c r="G63" s="85"/>
    </row>
    <row r="64" spans="1:7" x14ac:dyDescent="0.25">
      <c r="A64" s="21">
        <v>3295</v>
      </c>
      <c r="B64" s="22"/>
      <c r="C64" s="23"/>
      <c r="D64" s="24" t="s">
        <v>93</v>
      </c>
      <c r="E64" s="32"/>
      <c r="F64" s="32"/>
      <c r="G64" s="85"/>
    </row>
    <row r="65" spans="1:7" x14ac:dyDescent="0.25">
      <c r="A65" s="21">
        <v>3296</v>
      </c>
      <c r="B65" s="22"/>
      <c r="C65" s="23"/>
      <c r="D65" s="24" t="s">
        <v>94</v>
      </c>
      <c r="E65" s="32"/>
      <c r="F65" s="32"/>
      <c r="G65" s="85"/>
    </row>
    <row r="66" spans="1:7" ht="25.5" x14ac:dyDescent="0.25">
      <c r="A66" s="21">
        <v>3299</v>
      </c>
      <c r="B66" s="22"/>
      <c r="C66" s="23"/>
      <c r="D66" s="24" t="s">
        <v>53</v>
      </c>
      <c r="E66" s="32"/>
      <c r="F66" s="32">
        <v>151.6</v>
      </c>
      <c r="G66" s="85"/>
    </row>
    <row r="67" spans="1:7" ht="25.5" x14ac:dyDescent="0.25">
      <c r="A67" s="34">
        <v>4</v>
      </c>
      <c r="B67" s="35"/>
      <c r="C67" s="36"/>
      <c r="D67" s="94" t="s">
        <v>45</v>
      </c>
      <c r="E67" s="29">
        <f t="shared" ref="E67:F67" si="17">SUM(E68)</f>
        <v>0</v>
      </c>
      <c r="F67" s="29">
        <f t="shared" si="17"/>
        <v>968</v>
      </c>
      <c r="G67" s="85"/>
    </row>
    <row r="68" spans="1:7" ht="25.5" x14ac:dyDescent="0.25">
      <c r="A68" s="96">
        <v>42</v>
      </c>
      <c r="B68" s="97"/>
      <c r="C68" s="98"/>
      <c r="D68" s="14" t="s">
        <v>45</v>
      </c>
      <c r="E68" s="30">
        <f t="shared" ref="E68:F68" si="18">SUM(E69+E76)</f>
        <v>0</v>
      </c>
      <c r="F68" s="30">
        <f t="shared" si="18"/>
        <v>968</v>
      </c>
      <c r="G68" s="85"/>
    </row>
    <row r="69" spans="1:7" x14ac:dyDescent="0.25">
      <c r="A69" s="16">
        <v>422</v>
      </c>
      <c r="B69" s="17"/>
      <c r="C69" s="18"/>
      <c r="D69" s="19" t="s">
        <v>58</v>
      </c>
      <c r="E69" s="31">
        <f t="shared" ref="E69:F69" si="19">SUM(E70:E75)</f>
        <v>0</v>
      </c>
      <c r="F69" s="31">
        <f t="shared" si="19"/>
        <v>968</v>
      </c>
      <c r="G69" s="85"/>
    </row>
    <row r="70" spans="1:7" x14ac:dyDescent="0.25">
      <c r="A70" s="21">
        <v>4221</v>
      </c>
      <c r="B70" s="22"/>
      <c r="C70" s="23"/>
      <c r="D70" s="24" t="s">
        <v>99</v>
      </c>
      <c r="E70" s="32"/>
      <c r="F70" s="32"/>
      <c r="G70" s="85"/>
    </row>
    <row r="71" spans="1:7" x14ac:dyDescent="0.25">
      <c r="A71" s="21">
        <v>4222</v>
      </c>
      <c r="B71" s="22"/>
      <c r="C71" s="23"/>
      <c r="D71" s="24" t="s">
        <v>100</v>
      </c>
      <c r="E71" s="32"/>
      <c r="F71" s="32"/>
      <c r="G71" s="85"/>
    </row>
    <row r="72" spans="1:7" x14ac:dyDescent="0.25">
      <c r="A72" s="21">
        <v>4223</v>
      </c>
      <c r="B72" s="22"/>
      <c r="C72" s="23"/>
      <c r="D72" s="24" t="s">
        <v>101</v>
      </c>
      <c r="E72" s="32"/>
      <c r="F72" s="32"/>
      <c r="G72" s="85"/>
    </row>
    <row r="73" spans="1:7" x14ac:dyDescent="0.25">
      <c r="A73" s="21">
        <v>4225</v>
      </c>
      <c r="B73" s="22"/>
      <c r="C73" s="23"/>
      <c r="D73" s="24" t="s">
        <v>102</v>
      </c>
      <c r="E73" s="32"/>
      <c r="F73" s="32"/>
      <c r="G73" s="85"/>
    </row>
    <row r="74" spans="1:7" x14ac:dyDescent="0.25">
      <c r="A74" s="21">
        <v>4226</v>
      </c>
      <c r="B74" s="22"/>
      <c r="C74" s="23"/>
      <c r="D74" s="24" t="s">
        <v>103</v>
      </c>
      <c r="E74" s="32"/>
      <c r="F74" s="32"/>
      <c r="G74" s="85"/>
    </row>
    <row r="75" spans="1:7" ht="25.5" x14ac:dyDescent="0.25">
      <c r="A75" s="21">
        <v>4227</v>
      </c>
      <c r="B75" s="22"/>
      <c r="C75" s="23"/>
      <c r="D75" s="24" t="s">
        <v>104</v>
      </c>
      <c r="E75" s="32"/>
      <c r="F75" s="32">
        <v>968</v>
      </c>
      <c r="G75" s="85"/>
    </row>
    <row r="76" spans="1:7" ht="25.5" x14ac:dyDescent="0.25">
      <c r="A76" s="16">
        <v>424</v>
      </c>
      <c r="B76" s="17"/>
      <c r="C76" s="18"/>
      <c r="D76" s="19" t="s">
        <v>59</v>
      </c>
      <c r="E76" s="31">
        <f t="shared" ref="E76:F76" si="20">SUM(E77)</f>
        <v>0</v>
      </c>
      <c r="F76" s="31">
        <f t="shared" si="20"/>
        <v>0</v>
      </c>
      <c r="G76" s="85"/>
    </row>
    <row r="77" spans="1:7" x14ac:dyDescent="0.25">
      <c r="A77" s="21">
        <v>4241</v>
      </c>
      <c r="B77" s="22"/>
      <c r="C77" s="23"/>
      <c r="D77" s="24" t="s">
        <v>105</v>
      </c>
      <c r="E77" s="32"/>
      <c r="F77" s="32"/>
      <c r="G77" s="85"/>
    </row>
    <row r="78" spans="1:7" x14ac:dyDescent="0.25">
      <c r="A78" s="21"/>
      <c r="B78" s="22"/>
      <c r="C78" s="23"/>
      <c r="D78" s="24"/>
      <c r="E78" s="32"/>
      <c r="F78" s="32"/>
      <c r="G78" s="85" t="e">
        <f t="shared" si="14"/>
        <v>#DIV/0!</v>
      </c>
    </row>
    <row r="79" spans="1:7" x14ac:dyDescent="0.25">
      <c r="A79" s="21"/>
      <c r="B79" s="22"/>
      <c r="C79" s="23"/>
      <c r="D79" s="28" t="s">
        <v>106</v>
      </c>
      <c r="E79" s="38">
        <f>E34</f>
        <v>730</v>
      </c>
      <c r="F79" s="38">
        <f>F34+F67</f>
        <v>1908.3899999999999</v>
      </c>
      <c r="G79" s="85">
        <f t="shared" si="14"/>
        <v>261.42328767123286</v>
      </c>
    </row>
    <row r="80" spans="1:7" x14ac:dyDescent="0.25">
      <c r="A80" s="21"/>
      <c r="B80" s="22"/>
      <c r="C80" s="23"/>
      <c r="D80" s="24"/>
      <c r="E80" s="12"/>
      <c r="F80" s="12"/>
    </row>
    <row r="81" spans="1:8" ht="25.5" x14ac:dyDescent="0.25">
      <c r="A81" s="232" t="s">
        <v>30</v>
      </c>
      <c r="B81" s="233"/>
      <c r="C81" s="234"/>
      <c r="D81" s="8" t="s">
        <v>31</v>
      </c>
      <c r="E81" s="8" t="s">
        <v>107</v>
      </c>
      <c r="F81" s="8" t="s">
        <v>108</v>
      </c>
      <c r="G81" s="9" t="s">
        <v>158</v>
      </c>
    </row>
    <row r="82" spans="1:8" x14ac:dyDescent="0.25">
      <c r="A82" s="10"/>
      <c r="B82" s="2"/>
      <c r="C82" s="3"/>
      <c r="D82" s="11">
        <v>1</v>
      </c>
      <c r="E82" s="11">
        <v>2</v>
      </c>
      <c r="F82" s="11">
        <v>3</v>
      </c>
      <c r="G82" s="37" t="s">
        <v>161</v>
      </c>
      <c r="H82" s="4"/>
    </row>
    <row r="83" spans="1:8" ht="15" customHeight="1" x14ac:dyDescent="0.25">
      <c r="A83" s="223" t="s">
        <v>109</v>
      </c>
      <c r="B83" s="224"/>
      <c r="C83" s="225"/>
      <c r="D83" s="95" t="s">
        <v>37</v>
      </c>
      <c r="E83" s="12"/>
      <c r="F83" s="12"/>
      <c r="G83" s="6"/>
    </row>
    <row r="84" spans="1:8" ht="25.5" customHeight="1" x14ac:dyDescent="0.25">
      <c r="A84" s="223" t="s">
        <v>140</v>
      </c>
      <c r="B84" s="224"/>
      <c r="C84" s="225"/>
      <c r="D84" s="95" t="s">
        <v>147</v>
      </c>
      <c r="E84" s="12"/>
      <c r="F84" s="12"/>
      <c r="G84" s="6"/>
    </row>
    <row r="85" spans="1:8" ht="15" customHeight="1" x14ac:dyDescent="0.25">
      <c r="A85" s="226">
        <v>43</v>
      </c>
      <c r="B85" s="227"/>
      <c r="C85" s="228"/>
      <c r="D85" s="93" t="s">
        <v>44</v>
      </c>
      <c r="E85" s="12"/>
      <c r="F85" s="12"/>
      <c r="G85" s="6"/>
    </row>
    <row r="86" spans="1:8" ht="15" customHeight="1" x14ac:dyDescent="0.25">
      <c r="A86" s="229">
        <v>3</v>
      </c>
      <c r="B86" s="230"/>
      <c r="C86" s="231"/>
      <c r="D86" s="94" t="s">
        <v>20</v>
      </c>
      <c r="E86" s="29">
        <f t="shared" ref="E86:F86" si="21">SUM(E87+E97+E131+E135)</f>
        <v>20330</v>
      </c>
      <c r="F86" s="29">
        <f t="shared" si="21"/>
        <v>5714.84</v>
      </c>
      <c r="G86" s="85">
        <f>F86/E86*100</f>
        <v>28.110378750614856</v>
      </c>
    </row>
    <row r="87" spans="1:8" x14ac:dyDescent="0.25">
      <c r="A87" s="220">
        <v>31</v>
      </c>
      <c r="B87" s="221"/>
      <c r="C87" s="222"/>
      <c r="D87" s="14" t="s">
        <v>21</v>
      </c>
      <c r="E87" s="30">
        <f t="shared" ref="E87:F87" si="22">SUM(E88+E92+E94)</f>
        <v>0</v>
      </c>
      <c r="F87" s="30">
        <f t="shared" si="22"/>
        <v>0</v>
      </c>
      <c r="G87" s="85"/>
    </row>
    <row r="88" spans="1:8" ht="15" customHeight="1" x14ac:dyDescent="0.25">
      <c r="A88" s="16">
        <v>311</v>
      </c>
      <c r="B88" s="17"/>
      <c r="C88" s="18"/>
      <c r="D88" s="19" t="s">
        <v>48</v>
      </c>
      <c r="E88" s="31">
        <f t="shared" ref="E88:F88" si="23">SUM(E89:E91)</f>
        <v>0</v>
      </c>
      <c r="F88" s="31">
        <f t="shared" si="23"/>
        <v>0</v>
      </c>
      <c r="G88" s="85"/>
    </row>
    <row r="89" spans="1:8" x14ac:dyDescent="0.25">
      <c r="A89" s="21">
        <v>3111</v>
      </c>
      <c r="B89" s="22"/>
      <c r="C89" s="23"/>
      <c r="D89" s="24" t="s">
        <v>60</v>
      </c>
      <c r="E89" s="32">
        <v>0</v>
      </c>
      <c r="F89" s="32">
        <v>0</v>
      </c>
      <c r="G89" s="85"/>
    </row>
    <row r="90" spans="1:8" x14ac:dyDescent="0.25">
      <c r="A90" s="21">
        <v>3113</v>
      </c>
      <c r="B90" s="22"/>
      <c r="C90" s="23"/>
      <c r="D90" s="24" t="s">
        <v>61</v>
      </c>
      <c r="E90" s="32"/>
      <c r="F90" s="32"/>
      <c r="G90" s="85"/>
    </row>
    <row r="91" spans="1:8" x14ac:dyDescent="0.25">
      <c r="A91" s="21">
        <v>3114</v>
      </c>
      <c r="B91" s="22"/>
      <c r="C91" s="23"/>
      <c r="D91" s="24" t="s">
        <v>62</v>
      </c>
      <c r="E91" s="32"/>
      <c r="F91" s="32"/>
      <c r="G91" s="85"/>
    </row>
    <row r="92" spans="1:8" x14ac:dyDescent="0.25">
      <c r="A92" s="16">
        <v>312</v>
      </c>
      <c r="B92" s="17"/>
      <c r="C92" s="18"/>
      <c r="D92" s="19" t="s">
        <v>63</v>
      </c>
      <c r="E92" s="31">
        <f t="shared" ref="E92:F92" si="24">SUM(E93)</f>
        <v>0</v>
      </c>
      <c r="F92" s="31">
        <f t="shared" si="24"/>
        <v>0</v>
      </c>
      <c r="G92" s="85"/>
    </row>
    <row r="93" spans="1:8" x14ac:dyDescent="0.25">
      <c r="A93" s="21">
        <v>3121</v>
      </c>
      <c r="B93" s="22"/>
      <c r="C93" s="23"/>
      <c r="D93" s="24" t="s">
        <v>64</v>
      </c>
      <c r="E93" s="32"/>
      <c r="F93" s="32"/>
      <c r="G93" s="85"/>
    </row>
    <row r="94" spans="1:8" x14ac:dyDescent="0.25">
      <c r="A94" s="16">
        <v>313</v>
      </c>
      <c r="B94" s="17"/>
      <c r="C94" s="18"/>
      <c r="D94" s="19" t="s">
        <v>49</v>
      </c>
      <c r="E94" s="31">
        <f t="shared" ref="E94:F94" si="25">SUM(E95:E96)</f>
        <v>0</v>
      </c>
      <c r="F94" s="31">
        <f t="shared" si="25"/>
        <v>0</v>
      </c>
      <c r="G94" s="85"/>
    </row>
    <row r="95" spans="1:8" x14ac:dyDescent="0.25">
      <c r="A95" s="21">
        <v>3131</v>
      </c>
      <c r="B95" s="22"/>
      <c r="C95" s="23"/>
      <c r="D95" s="24" t="s">
        <v>65</v>
      </c>
      <c r="E95" s="32"/>
      <c r="F95" s="32"/>
      <c r="G95" s="85"/>
    </row>
    <row r="96" spans="1:8" ht="25.5" x14ac:dyDescent="0.25">
      <c r="A96" s="21">
        <v>3132</v>
      </c>
      <c r="B96" s="22"/>
      <c r="C96" s="23"/>
      <c r="D96" s="24" t="s">
        <v>66</v>
      </c>
      <c r="E96" s="32"/>
      <c r="F96" s="32"/>
      <c r="G96" s="85"/>
    </row>
    <row r="97" spans="1:7" x14ac:dyDescent="0.25">
      <c r="A97" s="220">
        <v>32</v>
      </c>
      <c r="B97" s="221"/>
      <c r="C97" s="222"/>
      <c r="D97" s="14" t="s">
        <v>32</v>
      </c>
      <c r="E97" s="30">
        <f t="shared" ref="E97:F97" si="26">SUM(E98+E103+E111+E121+E123)</f>
        <v>20330</v>
      </c>
      <c r="F97" s="30">
        <f t="shared" si="26"/>
        <v>5714.84</v>
      </c>
      <c r="G97" s="85">
        <f t="shared" ref="G97:G149" si="27">F97/E97*100</f>
        <v>28.110378750614856</v>
      </c>
    </row>
    <row r="98" spans="1:7" x14ac:dyDescent="0.25">
      <c r="A98" s="16">
        <v>321</v>
      </c>
      <c r="B98" s="17"/>
      <c r="C98" s="18"/>
      <c r="D98" s="19" t="s">
        <v>50</v>
      </c>
      <c r="E98" s="31">
        <f t="shared" ref="E98:F98" si="28">SUM(E99:E102)</f>
        <v>530</v>
      </c>
      <c r="F98" s="31">
        <f t="shared" si="28"/>
        <v>610.65</v>
      </c>
      <c r="G98" s="85">
        <f t="shared" si="27"/>
        <v>115.21698113207546</v>
      </c>
    </row>
    <row r="99" spans="1:7" x14ac:dyDescent="0.25">
      <c r="A99" s="21">
        <v>3211</v>
      </c>
      <c r="B99" s="22"/>
      <c r="C99" s="23"/>
      <c r="D99" s="24" t="s">
        <v>67</v>
      </c>
      <c r="E99" s="32">
        <v>530</v>
      </c>
      <c r="F99" s="32">
        <v>610.65</v>
      </c>
      <c r="G99" s="85">
        <f t="shared" si="27"/>
        <v>115.21698113207546</v>
      </c>
    </row>
    <row r="100" spans="1:7" ht="25.5" x14ac:dyDescent="0.25">
      <c r="A100" s="21">
        <v>3212</v>
      </c>
      <c r="B100" s="22"/>
      <c r="C100" s="23"/>
      <c r="D100" s="24" t="s">
        <v>68</v>
      </c>
      <c r="E100" s="32"/>
      <c r="F100" s="32"/>
      <c r="G100" s="85"/>
    </row>
    <row r="101" spans="1:7" x14ac:dyDescent="0.25">
      <c r="A101" s="21">
        <v>3213</v>
      </c>
      <c r="B101" s="22"/>
      <c r="C101" s="23"/>
      <c r="D101" s="24" t="s">
        <v>69</v>
      </c>
      <c r="E101" s="32"/>
      <c r="F101" s="32"/>
      <c r="G101" s="85"/>
    </row>
    <row r="102" spans="1:7" ht="25.5" x14ac:dyDescent="0.25">
      <c r="A102" s="21">
        <v>3214</v>
      </c>
      <c r="B102" s="22"/>
      <c r="C102" s="23"/>
      <c r="D102" s="24" t="s">
        <v>70</v>
      </c>
      <c r="E102" s="32"/>
      <c r="F102" s="32"/>
      <c r="G102" s="85"/>
    </row>
    <row r="103" spans="1:7" x14ac:dyDescent="0.25">
      <c r="A103" s="16">
        <v>322</v>
      </c>
      <c r="B103" s="17"/>
      <c r="C103" s="18"/>
      <c r="D103" s="19" t="s">
        <v>51</v>
      </c>
      <c r="E103" s="31">
        <f t="shared" ref="E103:F103" si="29">SUM(E104:E110)</f>
        <v>13700</v>
      </c>
      <c r="F103" s="31">
        <f t="shared" si="29"/>
        <v>47.7</v>
      </c>
      <c r="G103" s="85">
        <f t="shared" si="27"/>
        <v>0.34817518248175183</v>
      </c>
    </row>
    <row r="104" spans="1:7" ht="25.5" x14ac:dyDescent="0.25">
      <c r="A104" s="21">
        <v>3221</v>
      </c>
      <c r="B104" s="22"/>
      <c r="C104" s="23"/>
      <c r="D104" s="24" t="s">
        <v>71</v>
      </c>
      <c r="E104" s="32"/>
      <c r="F104" s="32">
        <v>47.7</v>
      </c>
      <c r="G104" s="85"/>
    </row>
    <row r="105" spans="1:7" x14ac:dyDescent="0.25">
      <c r="A105" s="21">
        <v>3222</v>
      </c>
      <c r="B105" s="22"/>
      <c r="C105" s="23"/>
      <c r="D105" s="24" t="s">
        <v>72</v>
      </c>
      <c r="E105" s="32">
        <v>13200</v>
      </c>
      <c r="F105" s="32"/>
      <c r="G105" s="85">
        <f t="shared" si="27"/>
        <v>0</v>
      </c>
    </row>
    <row r="106" spans="1:7" x14ac:dyDescent="0.25">
      <c r="A106" s="21">
        <v>3223</v>
      </c>
      <c r="B106" s="22"/>
      <c r="C106" s="23"/>
      <c r="D106" s="24" t="s">
        <v>73</v>
      </c>
      <c r="E106" s="32"/>
      <c r="F106" s="32"/>
      <c r="G106" s="85"/>
    </row>
    <row r="107" spans="1:7" ht="25.5" x14ac:dyDescent="0.25">
      <c r="A107" s="21">
        <v>3224</v>
      </c>
      <c r="B107" s="22"/>
      <c r="C107" s="23"/>
      <c r="D107" s="24" t="s">
        <v>74</v>
      </c>
      <c r="E107" s="32"/>
      <c r="F107" s="32"/>
      <c r="G107" s="85"/>
    </row>
    <row r="108" spans="1:7" x14ac:dyDescent="0.25">
      <c r="A108" s="21">
        <v>3225</v>
      </c>
      <c r="B108" s="22"/>
      <c r="C108" s="23"/>
      <c r="D108" s="24" t="s">
        <v>75</v>
      </c>
      <c r="E108" s="32">
        <v>500</v>
      </c>
      <c r="F108" s="32"/>
      <c r="G108" s="85">
        <f t="shared" si="27"/>
        <v>0</v>
      </c>
    </row>
    <row r="109" spans="1:7" ht="25.5" x14ac:dyDescent="0.25">
      <c r="A109" s="21">
        <v>3226</v>
      </c>
      <c r="B109" s="22"/>
      <c r="C109" s="23"/>
      <c r="D109" s="24" t="s">
        <v>76</v>
      </c>
      <c r="E109" s="32"/>
      <c r="F109" s="32"/>
      <c r="G109" s="85"/>
    </row>
    <row r="110" spans="1:7" ht="25.5" x14ac:dyDescent="0.25">
      <c r="A110" s="21">
        <v>3227</v>
      </c>
      <c r="B110" s="22"/>
      <c r="C110" s="23"/>
      <c r="D110" s="24" t="s">
        <v>77</v>
      </c>
      <c r="E110" s="32"/>
      <c r="F110" s="32"/>
      <c r="G110" s="85"/>
    </row>
    <row r="111" spans="1:7" x14ac:dyDescent="0.25">
      <c r="A111" s="16">
        <v>323</v>
      </c>
      <c r="B111" s="17"/>
      <c r="C111" s="18"/>
      <c r="D111" s="19" t="s">
        <v>52</v>
      </c>
      <c r="E111" s="31">
        <f t="shared" ref="E111:F111" si="30">SUM(E112:E120)</f>
        <v>1100</v>
      </c>
      <c r="F111" s="31">
        <f t="shared" si="30"/>
        <v>1080</v>
      </c>
      <c r="G111" s="85">
        <f t="shared" si="27"/>
        <v>98.181818181818187</v>
      </c>
    </row>
    <row r="112" spans="1:7" x14ac:dyDescent="0.25">
      <c r="A112" s="21">
        <v>3231</v>
      </c>
      <c r="B112" s="22"/>
      <c r="C112" s="23"/>
      <c r="D112" s="24" t="s">
        <v>78</v>
      </c>
      <c r="E112" s="32">
        <v>1000</v>
      </c>
      <c r="F112" s="32">
        <v>830</v>
      </c>
      <c r="G112" s="85">
        <f t="shared" si="27"/>
        <v>83</v>
      </c>
    </row>
    <row r="113" spans="1:7" ht="25.5" x14ac:dyDescent="0.25">
      <c r="A113" s="21">
        <v>3232</v>
      </c>
      <c r="B113" s="22"/>
      <c r="C113" s="23"/>
      <c r="D113" s="24" t="s">
        <v>79</v>
      </c>
      <c r="E113" s="32"/>
      <c r="F113" s="32"/>
      <c r="G113" s="85"/>
    </row>
    <row r="114" spans="1:7" x14ac:dyDescent="0.25">
      <c r="A114" s="21">
        <v>3233</v>
      </c>
      <c r="B114" s="22"/>
      <c r="C114" s="23"/>
      <c r="D114" s="24" t="s">
        <v>80</v>
      </c>
      <c r="E114" s="32"/>
      <c r="F114" s="32"/>
      <c r="G114" s="85"/>
    </row>
    <row r="115" spans="1:7" x14ac:dyDescent="0.25">
      <c r="A115" s="21">
        <v>3234</v>
      </c>
      <c r="B115" s="22"/>
      <c r="C115" s="23"/>
      <c r="D115" s="24" t="s">
        <v>81</v>
      </c>
      <c r="E115" s="32"/>
      <c r="F115" s="32"/>
      <c r="G115" s="85"/>
    </row>
    <row r="116" spans="1:7" x14ac:dyDescent="0.25">
      <c r="A116" s="21">
        <v>3235</v>
      </c>
      <c r="B116" s="22"/>
      <c r="C116" s="23"/>
      <c r="D116" s="24" t="s">
        <v>82</v>
      </c>
      <c r="E116" s="32"/>
      <c r="F116" s="32"/>
      <c r="G116" s="85"/>
    </row>
    <row r="117" spans="1:7" x14ac:dyDescent="0.25">
      <c r="A117" s="21">
        <v>3236</v>
      </c>
      <c r="B117" s="22"/>
      <c r="C117" s="23"/>
      <c r="D117" s="24" t="s">
        <v>83</v>
      </c>
      <c r="E117" s="32"/>
      <c r="F117" s="32"/>
      <c r="G117" s="85"/>
    </row>
    <row r="118" spans="1:7" x14ac:dyDescent="0.25">
      <c r="A118" s="21">
        <v>3237</v>
      </c>
      <c r="B118" s="22"/>
      <c r="C118" s="23"/>
      <c r="D118" s="24" t="s">
        <v>84</v>
      </c>
      <c r="E118" s="32"/>
      <c r="F118" s="32">
        <v>250</v>
      </c>
      <c r="G118" s="85"/>
    </row>
    <row r="119" spans="1:7" x14ac:dyDescent="0.25">
      <c r="A119" s="21">
        <v>3238</v>
      </c>
      <c r="B119" s="22"/>
      <c r="C119" s="23"/>
      <c r="D119" s="24" t="s">
        <v>85</v>
      </c>
      <c r="E119" s="32"/>
      <c r="F119" s="32"/>
      <c r="G119" s="85"/>
    </row>
    <row r="120" spans="1:7" x14ac:dyDescent="0.25">
      <c r="A120" s="21">
        <v>3239</v>
      </c>
      <c r="B120" s="22"/>
      <c r="C120" s="23"/>
      <c r="D120" s="24" t="s">
        <v>86</v>
      </c>
      <c r="E120" s="32">
        <v>100</v>
      </c>
      <c r="F120" s="32"/>
      <c r="G120" s="85">
        <f t="shared" si="27"/>
        <v>0</v>
      </c>
    </row>
    <row r="121" spans="1:7" ht="25.5" x14ac:dyDescent="0.25">
      <c r="A121" s="16">
        <v>324</v>
      </c>
      <c r="B121" s="17"/>
      <c r="C121" s="18"/>
      <c r="D121" s="19" t="s">
        <v>87</v>
      </c>
      <c r="E121" s="31"/>
      <c r="F121" s="31"/>
      <c r="G121" s="85"/>
    </row>
    <row r="122" spans="1:7" ht="19.5" customHeight="1" x14ac:dyDescent="0.25">
      <c r="A122" s="21">
        <v>3241</v>
      </c>
      <c r="B122" s="22"/>
      <c r="C122" s="23"/>
      <c r="D122" s="24" t="s">
        <v>115</v>
      </c>
      <c r="E122" s="32"/>
      <c r="F122" s="32"/>
      <c r="G122" s="85"/>
    </row>
    <row r="123" spans="1:7" ht="25.5" x14ac:dyDescent="0.25">
      <c r="A123" s="16">
        <v>329</v>
      </c>
      <c r="B123" s="17"/>
      <c r="C123" s="18"/>
      <c r="D123" s="19" t="s">
        <v>88</v>
      </c>
      <c r="E123" s="31">
        <f t="shared" ref="E123:F123" si="31">SUM(E124:E130)</f>
        <v>5000</v>
      </c>
      <c r="F123" s="31">
        <f t="shared" si="31"/>
        <v>3976.49</v>
      </c>
      <c r="G123" s="85">
        <f t="shared" si="27"/>
        <v>79.529799999999994</v>
      </c>
    </row>
    <row r="124" spans="1:7" ht="38.25" x14ac:dyDescent="0.25">
      <c r="A124" s="21">
        <v>3291</v>
      </c>
      <c r="B124" s="22"/>
      <c r="C124" s="23"/>
      <c r="D124" s="24" t="s">
        <v>89</v>
      </c>
      <c r="E124" s="32"/>
      <c r="F124" s="32"/>
      <c r="G124" s="85"/>
    </row>
    <row r="125" spans="1:7" x14ac:dyDescent="0.25">
      <c r="A125" s="21">
        <v>3292</v>
      </c>
      <c r="B125" s="22"/>
      <c r="C125" s="23"/>
      <c r="D125" s="24" t="s">
        <v>90</v>
      </c>
      <c r="E125" s="32"/>
      <c r="F125" s="32"/>
      <c r="G125" s="85"/>
    </row>
    <row r="126" spans="1:7" x14ac:dyDescent="0.25">
      <c r="A126" s="21">
        <v>3293</v>
      </c>
      <c r="B126" s="22"/>
      <c r="C126" s="23"/>
      <c r="D126" s="24" t="s">
        <v>91</v>
      </c>
      <c r="E126" s="32"/>
      <c r="F126" s="32"/>
      <c r="G126" s="85"/>
    </row>
    <row r="127" spans="1:7" x14ac:dyDescent="0.25">
      <c r="A127" s="21">
        <v>3294</v>
      </c>
      <c r="B127" s="22"/>
      <c r="C127" s="23"/>
      <c r="D127" s="24" t="s">
        <v>92</v>
      </c>
      <c r="E127" s="32"/>
      <c r="F127" s="32"/>
      <c r="G127" s="85"/>
    </row>
    <row r="128" spans="1:7" x14ac:dyDescent="0.25">
      <c r="A128" s="21">
        <v>3295</v>
      </c>
      <c r="B128" s="22"/>
      <c r="C128" s="23"/>
      <c r="D128" s="24" t="s">
        <v>93</v>
      </c>
      <c r="E128" s="32"/>
      <c r="F128" s="32"/>
      <c r="G128" s="85"/>
    </row>
    <row r="129" spans="1:7" x14ac:dyDescent="0.25">
      <c r="A129" s="21">
        <v>3296</v>
      </c>
      <c r="B129" s="22"/>
      <c r="C129" s="23"/>
      <c r="D129" s="24" t="s">
        <v>94</v>
      </c>
      <c r="E129" s="32"/>
      <c r="F129" s="32"/>
      <c r="G129" s="85"/>
    </row>
    <row r="130" spans="1:7" ht="25.5" x14ac:dyDescent="0.25">
      <c r="A130" s="21">
        <v>3299</v>
      </c>
      <c r="B130" s="22"/>
      <c r="C130" s="23"/>
      <c r="D130" s="24" t="s">
        <v>53</v>
      </c>
      <c r="E130" s="32">
        <v>5000</v>
      </c>
      <c r="F130" s="32">
        <v>3976.49</v>
      </c>
      <c r="G130" s="85">
        <f t="shared" si="27"/>
        <v>79.529799999999994</v>
      </c>
    </row>
    <row r="131" spans="1:7" x14ac:dyDescent="0.25">
      <c r="A131" s="96">
        <v>34</v>
      </c>
      <c r="B131" s="97"/>
      <c r="C131" s="98"/>
      <c r="D131" s="14" t="s">
        <v>54</v>
      </c>
      <c r="E131" s="30">
        <f t="shared" ref="E131:F131" si="32">SUM(E132)</f>
        <v>0</v>
      </c>
      <c r="F131" s="30">
        <f t="shared" si="32"/>
        <v>0</v>
      </c>
      <c r="G131" s="85"/>
    </row>
    <row r="132" spans="1:7" x14ac:dyDescent="0.25">
      <c r="A132" s="16">
        <v>343</v>
      </c>
      <c r="B132" s="17"/>
      <c r="C132" s="18"/>
      <c r="D132" s="19" t="s">
        <v>55</v>
      </c>
      <c r="E132" s="31">
        <f t="shared" ref="E132:F132" si="33">SUM(E133:E134)</f>
        <v>0</v>
      </c>
      <c r="F132" s="31">
        <f t="shared" si="33"/>
        <v>0</v>
      </c>
      <c r="G132" s="85"/>
    </row>
    <row r="133" spans="1:7" ht="25.5" x14ac:dyDescent="0.25">
      <c r="A133" s="21">
        <v>3431</v>
      </c>
      <c r="B133" s="22"/>
      <c r="C133" s="23"/>
      <c r="D133" s="24" t="s">
        <v>95</v>
      </c>
      <c r="E133" s="32"/>
      <c r="F133" s="32"/>
      <c r="G133" s="85"/>
    </row>
    <row r="134" spans="1:7" x14ac:dyDescent="0.25">
      <c r="A134" s="21">
        <v>3433</v>
      </c>
      <c r="B134" s="22"/>
      <c r="C134" s="23"/>
      <c r="D134" s="24" t="s">
        <v>96</v>
      </c>
      <c r="E134" s="32"/>
      <c r="F134" s="32"/>
      <c r="G134" s="85"/>
    </row>
    <row r="135" spans="1:7" ht="38.25" x14ac:dyDescent="0.25">
      <c r="A135" s="96">
        <v>37</v>
      </c>
      <c r="B135" s="97"/>
      <c r="C135" s="98"/>
      <c r="D135" s="14" t="s">
        <v>56</v>
      </c>
      <c r="E135" s="30">
        <f t="shared" ref="E135:F135" si="34">SUM(E136)</f>
        <v>0</v>
      </c>
      <c r="F135" s="30">
        <f t="shared" si="34"/>
        <v>0</v>
      </c>
      <c r="G135" s="85"/>
    </row>
    <row r="136" spans="1:7" ht="25.5" x14ac:dyDescent="0.25">
      <c r="A136" s="16">
        <v>372</v>
      </c>
      <c r="B136" s="17"/>
      <c r="C136" s="18"/>
      <c r="D136" s="19" t="s">
        <v>57</v>
      </c>
      <c r="E136" s="31"/>
      <c r="F136" s="31"/>
      <c r="G136" s="85"/>
    </row>
    <row r="137" spans="1:7" ht="25.5" x14ac:dyDescent="0.25">
      <c r="A137" s="21">
        <v>3721</v>
      </c>
      <c r="B137" s="22"/>
      <c r="C137" s="23"/>
      <c r="D137" s="24" t="s">
        <v>97</v>
      </c>
      <c r="E137" s="32"/>
      <c r="F137" s="32"/>
      <c r="G137" s="85"/>
    </row>
    <row r="138" spans="1:7" ht="25.5" x14ac:dyDescent="0.25">
      <c r="A138" s="21">
        <v>3722</v>
      </c>
      <c r="B138" s="22"/>
      <c r="C138" s="23"/>
      <c r="D138" s="24" t="s">
        <v>98</v>
      </c>
      <c r="E138" s="32"/>
      <c r="F138" s="32"/>
      <c r="G138" s="85"/>
    </row>
    <row r="139" spans="1:7" ht="25.5" x14ac:dyDescent="0.25">
      <c r="A139" s="34">
        <v>4</v>
      </c>
      <c r="B139" s="35"/>
      <c r="C139" s="36"/>
      <c r="D139" s="94" t="s">
        <v>45</v>
      </c>
      <c r="E139" s="29">
        <f t="shared" ref="E139:F139" si="35">SUM(E140)</f>
        <v>530</v>
      </c>
      <c r="F139" s="29">
        <f t="shared" si="35"/>
        <v>0</v>
      </c>
      <c r="G139" s="85">
        <f t="shared" si="27"/>
        <v>0</v>
      </c>
    </row>
    <row r="140" spans="1:7" ht="25.5" x14ac:dyDescent="0.25">
      <c r="A140" s="96">
        <v>42</v>
      </c>
      <c r="B140" s="97"/>
      <c r="C140" s="98"/>
      <c r="D140" s="14" t="s">
        <v>45</v>
      </c>
      <c r="E140" s="30">
        <f t="shared" ref="E140:F140" si="36">SUM(E141+E148)</f>
        <v>530</v>
      </c>
      <c r="F140" s="30">
        <f t="shared" si="36"/>
        <v>0</v>
      </c>
      <c r="G140" s="85">
        <f t="shared" si="27"/>
        <v>0</v>
      </c>
    </row>
    <row r="141" spans="1:7" x14ac:dyDescent="0.25">
      <c r="A141" s="16">
        <v>422</v>
      </c>
      <c r="B141" s="17"/>
      <c r="C141" s="18"/>
      <c r="D141" s="19" t="s">
        <v>58</v>
      </c>
      <c r="E141" s="31">
        <f t="shared" ref="E141:F141" si="37">SUM(E142:E147)</f>
        <v>0</v>
      </c>
      <c r="F141" s="31">
        <f t="shared" si="37"/>
        <v>0</v>
      </c>
      <c r="G141" s="85"/>
    </row>
    <row r="142" spans="1:7" x14ac:dyDescent="0.25">
      <c r="A142" s="21">
        <v>4221</v>
      </c>
      <c r="B142" s="22"/>
      <c r="C142" s="23"/>
      <c r="D142" s="24" t="s">
        <v>99</v>
      </c>
      <c r="E142" s="32"/>
      <c r="F142" s="32"/>
      <c r="G142" s="85"/>
    </row>
    <row r="143" spans="1:7" x14ac:dyDescent="0.25">
      <c r="A143" s="21">
        <v>4222</v>
      </c>
      <c r="B143" s="22"/>
      <c r="C143" s="23"/>
      <c r="D143" s="24" t="s">
        <v>100</v>
      </c>
      <c r="E143" s="32"/>
      <c r="F143" s="32"/>
      <c r="G143" s="85"/>
    </row>
    <row r="144" spans="1:7" x14ac:dyDescent="0.25">
      <c r="A144" s="21">
        <v>4223</v>
      </c>
      <c r="B144" s="22"/>
      <c r="C144" s="23"/>
      <c r="D144" s="24" t="s">
        <v>101</v>
      </c>
      <c r="E144" s="32"/>
      <c r="F144" s="32"/>
      <c r="G144" s="85"/>
    </row>
    <row r="145" spans="1:8" x14ac:dyDescent="0.25">
      <c r="A145" s="21">
        <v>4225</v>
      </c>
      <c r="B145" s="22"/>
      <c r="C145" s="23"/>
      <c r="D145" s="24" t="s">
        <v>102</v>
      </c>
      <c r="E145" s="32"/>
      <c r="F145" s="32"/>
      <c r="G145" s="85"/>
    </row>
    <row r="146" spans="1:8" x14ac:dyDescent="0.25">
      <c r="A146" s="21">
        <v>4226</v>
      </c>
      <c r="B146" s="22"/>
      <c r="C146" s="23"/>
      <c r="D146" s="24" t="s">
        <v>103</v>
      </c>
      <c r="E146" s="32"/>
      <c r="F146" s="32"/>
      <c r="G146" s="85"/>
    </row>
    <row r="147" spans="1:8" ht="25.5" x14ac:dyDescent="0.25">
      <c r="A147" s="21">
        <v>4227</v>
      </c>
      <c r="B147" s="22"/>
      <c r="C147" s="23"/>
      <c r="D147" s="24" t="s">
        <v>104</v>
      </c>
      <c r="E147" s="32"/>
      <c r="F147" s="32"/>
      <c r="G147" s="85"/>
    </row>
    <row r="148" spans="1:8" ht="25.5" x14ac:dyDescent="0.25">
      <c r="A148" s="16">
        <v>424</v>
      </c>
      <c r="B148" s="17"/>
      <c r="C148" s="18"/>
      <c r="D148" s="19" t="s">
        <v>59</v>
      </c>
      <c r="E148" s="31">
        <f t="shared" ref="E148:F148" si="38">SUM(E149)</f>
        <v>530</v>
      </c>
      <c r="F148" s="31">
        <f t="shared" si="38"/>
        <v>0</v>
      </c>
      <c r="G148" s="85">
        <f t="shared" si="27"/>
        <v>0</v>
      </c>
    </row>
    <row r="149" spans="1:8" x14ac:dyDescent="0.25">
      <c r="A149" s="21">
        <v>4241</v>
      </c>
      <c r="B149" s="22"/>
      <c r="C149" s="23"/>
      <c r="D149" s="24" t="s">
        <v>105</v>
      </c>
      <c r="E149" s="32">
        <v>530</v>
      </c>
      <c r="F149" s="32"/>
      <c r="G149" s="85">
        <f t="shared" si="27"/>
        <v>0</v>
      </c>
    </row>
    <row r="150" spans="1:8" x14ac:dyDescent="0.25">
      <c r="A150" s="21"/>
      <c r="B150" s="22"/>
      <c r="C150" s="23"/>
      <c r="D150" s="24"/>
      <c r="E150" s="32"/>
      <c r="F150" s="32"/>
      <c r="G150" s="85"/>
    </row>
    <row r="151" spans="1:8" s="7" customFormat="1" x14ac:dyDescent="0.25">
      <c r="A151" s="21"/>
      <c r="B151" s="22"/>
      <c r="C151" s="23"/>
      <c r="D151" s="28" t="s">
        <v>106</v>
      </c>
      <c r="E151" s="38">
        <f t="shared" ref="E151:F151" si="39">SUM(E86+E139)</f>
        <v>20860</v>
      </c>
      <c r="F151" s="38">
        <f t="shared" si="39"/>
        <v>5714.84</v>
      </c>
      <c r="G151" s="85">
        <f t="shared" ref="G151" si="40">F151/E151*100</f>
        <v>27.396164908916589</v>
      </c>
    </row>
    <row r="152" spans="1:8" x14ac:dyDescent="0.25">
      <c r="A152" s="21"/>
      <c r="B152" s="22"/>
      <c r="C152" s="23"/>
      <c r="D152" s="24"/>
      <c r="E152" s="12"/>
      <c r="F152" s="12"/>
    </row>
    <row r="153" spans="1:8" ht="25.5" x14ac:dyDescent="0.25">
      <c r="A153" s="232" t="s">
        <v>30</v>
      </c>
      <c r="B153" s="233"/>
      <c r="C153" s="234"/>
      <c r="D153" s="8" t="s">
        <v>31</v>
      </c>
      <c r="E153" s="8" t="s">
        <v>107</v>
      </c>
      <c r="F153" s="8" t="s">
        <v>108</v>
      </c>
      <c r="G153" s="9" t="s">
        <v>158</v>
      </c>
    </row>
    <row r="154" spans="1:8" x14ac:dyDescent="0.25">
      <c r="A154" s="10"/>
      <c r="B154" s="2"/>
      <c r="C154" s="3"/>
      <c r="D154" s="11">
        <v>1</v>
      </c>
      <c r="E154" s="11">
        <v>2</v>
      </c>
      <c r="F154" s="11">
        <v>3</v>
      </c>
      <c r="G154" s="37" t="s">
        <v>161</v>
      </c>
      <c r="H154" s="4"/>
    </row>
    <row r="155" spans="1:8" ht="15" customHeight="1" x14ac:dyDescent="0.25">
      <c r="A155" s="223" t="s">
        <v>109</v>
      </c>
      <c r="B155" s="224"/>
      <c r="C155" s="225"/>
      <c r="D155" s="95" t="s">
        <v>37</v>
      </c>
      <c r="E155" s="12"/>
      <c r="F155" s="12"/>
      <c r="G155" s="6"/>
    </row>
    <row r="156" spans="1:8" ht="25.5" customHeight="1" x14ac:dyDescent="0.25">
      <c r="A156" s="223" t="s">
        <v>142</v>
      </c>
      <c r="B156" s="224"/>
      <c r="C156" s="225"/>
      <c r="D156" s="95" t="s">
        <v>146</v>
      </c>
      <c r="E156" s="12"/>
      <c r="F156" s="12"/>
      <c r="G156" s="6"/>
    </row>
    <row r="157" spans="1:8" ht="15" customHeight="1" x14ac:dyDescent="0.25">
      <c r="A157" s="226">
        <v>44</v>
      </c>
      <c r="B157" s="227"/>
      <c r="C157" s="228"/>
      <c r="D157" s="93" t="s">
        <v>143</v>
      </c>
      <c r="E157" s="12"/>
      <c r="F157" s="12"/>
      <c r="G157" s="6"/>
    </row>
    <row r="158" spans="1:8" x14ac:dyDescent="0.25">
      <c r="A158" s="229">
        <v>3</v>
      </c>
      <c r="B158" s="230"/>
      <c r="C158" s="231"/>
      <c r="D158" s="94" t="s">
        <v>20</v>
      </c>
      <c r="E158" s="29">
        <f t="shared" ref="E158:F158" si="41">SUM(E159+E169+E203+E207)</f>
        <v>34363</v>
      </c>
      <c r="F158" s="29">
        <f t="shared" si="41"/>
        <v>14180.070000000002</v>
      </c>
      <c r="G158" s="85">
        <f>F158/E158*100</f>
        <v>41.265518144515909</v>
      </c>
    </row>
    <row r="159" spans="1:8" x14ac:dyDescent="0.25">
      <c r="A159" s="220">
        <v>31</v>
      </c>
      <c r="B159" s="221"/>
      <c r="C159" s="222"/>
      <c r="D159" s="14" t="s">
        <v>21</v>
      </c>
      <c r="E159" s="30">
        <f t="shared" ref="E159:F159" si="42">SUM(E160+E164+E166)</f>
        <v>0</v>
      </c>
      <c r="F159" s="30">
        <f t="shared" si="42"/>
        <v>0</v>
      </c>
      <c r="G159" s="85"/>
    </row>
    <row r="160" spans="1:8" ht="15" customHeight="1" x14ac:dyDescent="0.25">
      <c r="A160" s="16">
        <v>311</v>
      </c>
      <c r="B160" s="17"/>
      <c r="C160" s="18"/>
      <c r="D160" s="19" t="s">
        <v>48</v>
      </c>
      <c r="E160" s="31">
        <f t="shared" ref="E160:F160" si="43">SUM(E161:E163)</f>
        <v>0</v>
      </c>
      <c r="F160" s="31">
        <f t="shared" si="43"/>
        <v>0</v>
      </c>
      <c r="G160" s="85"/>
    </row>
    <row r="161" spans="1:7" x14ac:dyDescent="0.25">
      <c r="A161" s="21">
        <v>3111</v>
      </c>
      <c r="B161" s="22"/>
      <c r="C161" s="23"/>
      <c r="D161" s="24" t="s">
        <v>60</v>
      </c>
      <c r="E161" s="32">
        <v>0</v>
      </c>
      <c r="F161" s="32">
        <v>0</v>
      </c>
      <c r="G161" s="85"/>
    </row>
    <row r="162" spans="1:7" x14ac:dyDescent="0.25">
      <c r="A162" s="21">
        <v>3113</v>
      </c>
      <c r="B162" s="22"/>
      <c r="C162" s="23"/>
      <c r="D162" s="24" t="s">
        <v>61</v>
      </c>
      <c r="E162" s="32"/>
      <c r="F162" s="32"/>
      <c r="G162" s="85"/>
    </row>
    <row r="163" spans="1:7" x14ac:dyDescent="0.25">
      <c r="A163" s="21">
        <v>3114</v>
      </c>
      <c r="B163" s="22"/>
      <c r="C163" s="23"/>
      <c r="D163" s="24" t="s">
        <v>62</v>
      </c>
      <c r="E163" s="32"/>
      <c r="F163" s="32"/>
      <c r="G163" s="85"/>
    </row>
    <row r="164" spans="1:7" x14ac:dyDescent="0.25">
      <c r="A164" s="16">
        <v>312</v>
      </c>
      <c r="B164" s="17"/>
      <c r="C164" s="18"/>
      <c r="D164" s="19" t="s">
        <v>63</v>
      </c>
      <c r="E164" s="31">
        <f t="shared" ref="E164:F164" si="44">SUM(E165)</f>
        <v>0</v>
      </c>
      <c r="F164" s="31">
        <f t="shared" si="44"/>
        <v>0</v>
      </c>
      <c r="G164" s="85"/>
    </row>
    <row r="165" spans="1:7" x14ac:dyDescent="0.25">
      <c r="A165" s="21">
        <v>3121</v>
      </c>
      <c r="B165" s="22"/>
      <c r="C165" s="23"/>
      <c r="D165" s="24" t="s">
        <v>64</v>
      </c>
      <c r="E165" s="32"/>
      <c r="F165" s="32"/>
      <c r="G165" s="85"/>
    </row>
    <row r="166" spans="1:7" x14ac:dyDescent="0.25">
      <c r="A166" s="16">
        <v>313</v>
      </c>
      <c r="B166" s="17"/>
      <c r="C166" s="18"/>
      <c r="D166" s="19" t="s">
        <v>49</v>
      </c>
      <c r="E166" s="31">
        <f t="shared" ref="E166" si="45">SUM(E167:E168)</f>
        <v>0</v>
      </c>
      <c r="F166" s="31">
        <f t="shared" ref="F166" si="46">SUM(F167:F168)</f>
        <v>0</v>
      </c>
      <c r="G166" s="85"/>
    </row>
    <row r="167" spans="1:7" x14ac:dyDescent="0.25">
      <c r="A167" s="21">
        <v>3131</v>
      </c>
      <c r="B167" s="22"/>
      <c r="C167" s="23"/>
      <c r="D167" s="24" t="s">
        <v>65</v>
      </c>
      <c r="E167" s="32"/>
      <c r="F167" s="32"/>
      <c r="G167" s="85"/>
    </row>
    <row r="168" spans="1:7" ht="25.5" x14ac:dyDescent="0.25">
      <c r="A168" s="21">
        <v>3132</v>
      </c>
      <c r="B168" s="22"/>
      <c r="C168" s="23"/>
      <c r="D168" s="24" t="s">
        <v>66</v>
      </c>
      <c r="E168" s="32"/>
      <c r="F168" s="32"/>
      <c r="G168" s="85"/>
    </row>
    <row r="169" spans="1:7" x14ac:dyDescent="0.25">
      <c r="A169" s="220">
        <v>32</v>
      </c>
      <c r="B169" s="221"/>
      <c r="C169" s="222"/>
      <c r="D169" s="14" t="s">
        <v>32</v>
      </c>
      <c r="E169" s="30">
        <f>SUM(E170+E175+E183+E193+E195)</f>
        <v>33853</v>
      </c>
      <c r="F169" s="30">
        <f t="shared" ref="F169" si="47">SUM(F170+F175+F183+F193+F195)</f>
        <v>14010.95</v>
      </c>
      <c r="G169" s="85">
        <f t="shared" ref="G169:G205" si="48">F169/E169*100</f>
        <v>41.387617050187572</v>
      </c>
    </row>
    <row r="170" spans="1:7" x14ac:dyDescent="0.25">
      <c r="A170" s="16">
        <v>321</v>
      </c>
      <c r="B170" s="17"/>
      <c r="C170" s="18"/>
      <c r="D170" s="19" t="s">
        <v>50</v>
      </c>
      <c r="E170" s="31">
        <f t="shared" ref="E170:F170" si="49">SUM(E171:E174)</f>
        <v>2620</v>
      </c>
      <c r="F170" s="31">
        <f t="shared" si="49"/>
        <v>1524.6</v>
      </c>
      <c r="G170" s="85">
        <f t="shared" si="48"/>
        <v>58.190839694656482</v>
      </c>
    </row>
    <row r="171" spans="1:7" x14ac:dyDescent="0.25">
      <c r="A171" s="21">
        <v>3211</v>
      </c>
      <c r="B171" s="22"/>
      <c r="C171" s="23"/>
      <c r="D171" s="24" t="s">
        <v>67</v>
      </c>
      <c r="E171" s="32">
        <v>1000</v>
      </c>
      <c r="F171" s="32">
        <v>711.78</v>
      </c>
      <c r="G171" s="85">
        <f t="shared" si="48"/>
        <v>71.177999999999997</v>
      </c>
    </row>
    <row r="172" spans="1:7" ht="25.5" x14ac:dyDescent="0.25">
      <c r="A172" s="21">
        <v>3212</v>
      </c>
      <c r="B172" s="22"/>
      <c r="C172" s="23"/>
      <c r="D172" s="24" t="s">
        <v>68</v>
      </c>
      <c r="E172" s="32"/>
      <c r="F172" s="32"/>
      <c r="G172" s="85"/>
    </row>
    <row r="173" spans="1:7" x14ac:dyDescent="0.25">
      <c r="A173" s="21">
        <v>3213</v>
      </c>
      <c r="B173" s="22"/>
      <c r="C173" s="23"/>
      <c r="D173" s="24" t="s">
        <v>69</v>
      </c>
      <c r="E173" s="32">
        <v>220</v>
      </c>
      <c r="F173" s="32">
        <v>156.5</v>
      </c>
      <c r="G173" s="85">
        <f t="shared" si="48"/>
        <v>71.136363636363626</v>
      </c>
    </row>
    <row r="174" spans="1:7" ht="25.5" x14ac:dyDescent="0.25">
      <c r="A174" s="21">
        <v>3214</v>
      </c>
      <c r="B174" s="22"/>
      <c r="C174" s="23"/>
      <c r="D174" s="24" t="s">
        <v>70</v>
      </c>
      <c r="E174" s="32">
        <v>1400</v>
      </c>
      <c r="F174" s="32">
        <v>656.32</v>
      </c>
      <c r="G174" s="85">
        <f t="shared" si="48"/>
        <v>46.88</v>
      </c>
    </row>
    <row r="175" spans="1:7" x14ac:dyDescent="0.25">
      <c r="A175" s="16">
        <v>322</v>
      </c>
      <c r="B175" s="17"/>
      <c r="C175" s="18"/>
      <c r="D175" s="19" t="s">
        <v>51</v>
      </c>
      <c r="E175" s="31">
        <f t="shared" ref="E175:F175" si="50">SUM(E176:E182)</f>
        <v>16930</v>
      </c>
      <c r="F175" s="31">
        <f t="shared" si="50"/>
        <v>7590.1900000000005</v>
      </c>
      <c r="G175" s="85">
        <f t="shared" si="48"/>
        <v>44.832782043709393</v>
      </c>
    </row>
    <row r="176" spans="1:7" ht="25.5" x14ac:dyDescent="0.25">
      <c r="A176" s="21">
        <v>3221</v>
      </c>
      <c r="B176" s="22"/>
      <c r="C176" s="23"/>
      <c r="D176" s="24" t="s">
        <v>71</v>
      </c>
      <c r="E176" s="32">
        <v>4650</v>
      </c>
      <c r="F176" s="32">
        <v>2337.36</v>
      </c>
      <c r="G176" s="85">
        <f t="shared" si="48"/>
        <v>50.265806451612903</v>
      </c>
    </row>
    <row r="177" spans="1:7" x14ac:dyDescent="0.25">
      <c r="A177" s="21">
        <v>3222</v>
      </c>
      <c r="B177" s="22"/>
      <c r="C177" s="23"/>
      <c r="D177" s="24" t="s">
        <v>72</v>
      </c>
      <c r="E177" s="32"/>
      <c r="F177" s="32"/>
      <c r="G177" s="85"/>
    </row>
    <row r="178" spans="1:7" x14ac:dyDescent="0.25">
      <c r="A178" s="21">
        <v>3223</v>
      </c>
      <c r="B178" s="22"/>
      <c r="C178" s="23"/>
      <c r="D178" s="24" t="s">
        <v>73</v>
      </c>
      <c r="E178" s="32">
        <v>8630</v>
      </c>
      <c r="F178" s="32">
        <v>3820.4</v>
      </c>
      <c r="G178" s="85">
        <f t="shared" si="48"/>
        <v>44.268829663962919</v>
      </c>
    </row>
    <row r="179" spans="1:7" ht="25.5" x14ac:dyDescent="0.25">
      <c r="A179" s="21">
        <v>3224</v>
      </c>
      <c r="B179" s="22"/>
      <c r="C179" s="23"/>
      <c r="D179" s="24" t="s">
        <v>74</v>
      </c>
      <c r="E179" s="32">
        <v>2150</v>
      </c>
      <c r="F179" s="32">
        <v>995.97</v>
      </c>
      <c r="G179" s="85">
        <f t="shared" si="48"/>
        <v>46.324186046511628</v>
      </c>
    </row>
    <row r="180" spans="1:7" x14ac:dyDescent="0.25">
      <c r="A180" s="21">
        <v>3225</v>
      </c>
      <c r="B180" s="22"/>
      <c r="C180" s="23"/>
      <c r="D180" s="24" t="s">
        <v>75</v>
      </c>
      <c r="E180" s="32">
        <v>1350</v>
      </c>
      <c r="F180" s="32">
        <v>344.66</v>
      </c>
      <c r="G180" s="85">
        <f t="shared" si="48"/>
        <v>25.53037037037037</v>
      </c>
    </row>
    <row r="181" spans="1:7" ht="25.5" x14ac:dyDescent="0.25">
      <c r="A181" s="21">
        <v>3226</v>
      </c>
      <c r="B181" s="22"/>
      <c r="C181" s="23"/>
      <c r="D181" s="24" t="s">
        <v>76</v>
      </c>
      <c r="E181" s="32"/>
      <c r="F181" s="32"/>
      <c r="G181" s="85"/>
    </row>
    <row r="182" spans="1:7" ht="25.5" x14ac:dyDescent="0.25">
      <c r="A182" s="21">
        <v>3227</v>
      </c>
      <c r="B182" s="22"/>
      <c r="C182" s="23"/>
      <c r="D182" s="24" t="s">
        <v>77</v>
      </c>
      <c r="E182" s="32">
        <v>150</v>
      </c>
      <c r="F182" s="32">
        <v>91.8</v>
      </c>
      <c r="G182" s="85">
        <f t="shared" si="48"/>
        <v>61.199999999999996</v>
      </c>
    </row>
    <row r="183" spans="1:7" x14ac:dyDescent="0.25">
      <c r="A183" s="16">
        <v>323</v>
      </c>
      <c r="B183" s="17"/>
      <c r="C183" s="18"/>
      <c r="D183" s="19" t="s">
        <v>52</v>
      </c>
      <c r="E183" s="31">
        <f t="shared" ref="E183:F183" si="51">SUM(E184:E192)</f>
        <v>13633</v>
      </c>
      <c r="F183" s="31">
        <f t="shared" si="51"/>
        <v>4468.6000000000004</v>
      </c>
      <c r="G183" s="85">
        <f t="shared" si="48"/>
        <v>32.777818528570386</v>
      </c>
    </row>
    <row r="184" spans="1:7" x14ac:dyDescent="0.25">
      <c r="A184" s="21">
        <v>3231</v>
      </c>
      <c r="B184" s="22"/>
      <c r="C184" s="23"/>
      <c r="D184" s="24" t="s">
        <v>78</v>
      </c>
      <c r="E184" s="32">
        <v>3320</v>
      </c>
      <c r="F184" s="32">
        <v>873.64</v>
      </c>
      <c r="G184" s="85">
        <f t="shared" si="48"/>
        <v>26.314457831325299</v>
      </c>
    </row>
    <row r="185" spans="1:7" ht="25.5" x14ac:dyDescent="0.25">
      <c r="A185" s="21">
        <v>3232</v>
      </c>
      <c r="B185" s="22"/>
      <c r="C185" s="23"/>
      <c r="D185" s="24" t="s">
        <v>79</v>
      </c>
      <c r="E185" s="32">
        <v>2120</v>
      </c>
      <c r="F185" s="32">
        <v>566.70000000000005</v>
      </c>
      <c r="G185" s="85">
        <f t="shared" si="48"/>
        <v>26.731132075471702</v>
      </c>
    </row>
    <row r="186" spans="1:7" x14ac:dyDescent="0.25">
      <c r="A186" s="21">
        <v>3233</v>
      </c>
      <c r="B186" s="22"/>
      <c r="C186" s="23"/>
      <c r="D186" s="24" t="s">
        <v>80</v>
      </c>
      <c r="E186" s="32">
        <v>128</v>
      </c>
      <c r="F186" s="32">
        <v>63.72</v>
      </c>
      <c r="G186" s="85">
        <f t="shared" si="48"/>
        <v>49.78125</v>
      </c>
    </row>
    <row r="187" spans="1:7" x14ac:dyDescent="0.25">
      <c r="A187" s="21">
        <v>3234</v>
      </c>
      <c r="B187" s="22"/>
      <c r="C187" s="23"/>
      <c r="D187" s="24" t="s">
        <v>81</v>
      </c>
      <c r="E187" s="32">
        <v>3320</v>
      </c>
      <c r="F187" s="32">
        <v>1718.39</v>
      </c>
      <c r="G187" s="85">
        <f t="shared" si="48"/>
        <v>51.758734939759044</v>
      </c>
    </row>
    <row r="188" spans="1:7" x14ac:dyDescent="0.25">
      <c r="A188" s="21">
        <v>3235</v>
      </c>
      <c r="B188" s="22"/>
      <c r="C188" s="23"/>
      <c r="D188" s="24" t="s">
        <v>82</v>
      </c>
      <c r="E188" s="32"/>
      <c r="F188" s="32">
        <f t="shared" ref="F188:F190" si="52">E188*2.7%+E188</f>
        <v>0</v>
      </c>
      <c r="G188" s="85"/>
    </row>
    <row r="189" spans="1:7" x14ac:dyDescent="0.25">
      <c r="A189" s="21">
        <v>3236</v>
      </c>
      <c r="B189" s="22"/>
      <c r="C189" s="23"/>
      <c r="D189" s="24" t="s">
        <v>83</v>
      </c>
      <c r="E189" s="32">
        <v>2655</v>
      </c>
      <c r="F189" s="32">
        <v>318.92</v>
      </c>
      <c r="G189" s="85">
        <f t="shared" si="48"/>
        <v>12.0120527306968</v>
      </c>
    </row>
    <row r="190" spans="1:7" x14ac:dyDescent="0.25">
      <c r="A190" s="21">
        <v>3237</v>
      </c>
      <c r="B190" s="22"/>
      <c r="C190" s="23"/>
      <c r="D190" s="24" t="s">
        <v>84</v>
      </c>
      <c r="E190" s="32"/>
      <c r="F190" s="32">
        <f t="shared" si="52"/>
        <v>0</v>
      </c>
      <c r="G190" s="85"/>
    </row>
    <row r="191" spans="1:7" x14ac:dyDescent="0.25">
      <c r="A191" s="21">
        <v>3238</v>
      </c>
      <c r="B191" s="22"/>
      <c r="C191" s="23"/>
      <c r="D191" s="24" t="s">
        <v>85</v>
      </c>
      <c r="E191" s="32">
        <v>1090</v>
      </c>
      <c r="F191" s="32">
        <v>500.5</v>
      </c>
      <c r="G191" s="85">
        <f t="shared" si="48"/>
        <v>45.917431192660551</v>
      </c>
    </row>
    <row r="192" spans="1:7" x14ac:dyDescent="0.25">
      <c r="A192" s="21">
        <v>3239</v>
      </c>
      <c r="B192" s="22"/>
      <c r="C192" s="23"/>
      <c r="D192" s="24" t="s">
        <v>86</v>
      </c>
      <c r="E192" s="32">
        <v>1000</v>
      </c>
      <c r="F192" s="32">
        <f>669.94-243.21</f>
        <v>426.73</v>
      </c>
      <c r="G192" s="85">
        <f t="shared" si="48"/>
        <v>42.673000000000002</v>
      </c>
    </row>
    <row r="193" spans="1:7" ht="25.5" x14ac:dyDescent="0.25">
      <c r="A193" s="16">
        <v>324</v>
      </c>
      <c r="B193" s="17"/>
      <c r="C193" s="18"/>
      <c r="D193" s="19" t="s">
        <v>87</v>
      </c>
      <c r="E193" s="31"/>
      <c r="F193" s="31"/>
      <c r="G193" s="85"/>
    </row>
    <row r="194" spans="1:7" x14ac:dyDescent="0.25">
      <c r="A194" s="21">
        <v>3241</v>
      </c>
      <c r="B194" s="22"/>
      <c r="C194" s="23"/>
      <c r="D194" s="24" t="s">
        <v>115</v>
      </c>
      <c r="E194" s="32"/>
      <c r="F194" s="32"/>
      <c r="G194" s="85"/>
    </row>
    <row r="195" spans="1:7" ht="25.5" x14ac:dyDescent="0.25">
      <c r="A195" s="16">
        <v>329</v>
      </c>
      <c r="B195" s="17"/>
      <c r="C195" s="18"/>
      <c r="D195" s="19" t="s">
        <v>88</v>
      </c>
      <c r="E195" s="31">
        <f t="shared" ref="E195:F195" si="53">SUM(E196:E202)</f>
        <v>670</v>
      </c>
      <c r="F195" s="31">
        <f t="shared" si="53"/>
        <v>427.55999999999995</v>
      </c>
      <c r="G195" s="85">
        <f t="shared" si="48"/>
        <v>63.814925373134322</v>
      </c>
    </row>
    <row r="196" spans="1:7" ht="38.25" x14ac:dyDescent="0.25">
      <c r="A196" s="21">
        <v>3291</v>
      </c>
      <c r="B196" s="22"/>
      <c r="C196" s="23"/>
      <c r="D196" s="24" t="s">
        <v>89</v>
      </c>
      <c r="E196" s="32"/>
      <c r="F196" s="32">
        <v>150</v>
      </c>
      <c r="G196" s="85"/>
    </row>
    <row r="197" spans="1:7" x14ac:dyDescent="0.25">
      <c r="A197" s="21">
        <v>3292</v>
      </c>
      <c r="B197" s="22"/>
      <c r="C197" s="23"/>
      <c r="D197" s="24" t="s">
        <v>90</v>
      </c>
      <c r="E197" s="32"/>
      <c r="F197" s="32"/>
      <c r="G197" s="85"/>
    </row>
    <row r="198" spans="1:7" x14ac:dyDescent="0.25">
      <c r="A198" s="21">
        <v>3293</v>
      </c>
      <c r="B198" s="22"/>
      <c r="C198" s="23"/>
      <c r="D198" s="24" t="s">
        <v>91</v>
      </c>
      <c r="E198" s="32"/>
      <c r="F198" s="32"/>
      <c r="G198" s="85"/>
    </row>
    <row r="199" spans="1:7" x14ac:dyDescent="0.25">
      <c r="A199" s="21">
        <v>3294</v>
      </c>
      <c r="B199" s="22"/>
      <c r="C199" s="23"/>
      <c r="D199" s="24" t="s">
        <v>92</v>
      </c>
      <c r="E199" s="32">
        <v>170</v>
      </c>
      <c r="F199" s="32">
        <v>121.36</v>
      </c>
      <c r="G199" s="85">
        <f t="shared" si="48"/>
        <v>71.388235294117635</v>
      </c>
    </row>
    <row r="200" spans="1:7" x14ac:dyDescent="0.25">
      <c r="A200" s="21">
        <v>3295</v>
      </c>
      <c r="B200" s="22"/>
      <c r="C200" s="23"/>
      <c r="D200" s="24" t="s">
        <v>93</v>
      </c>
      <c r="E200" s="32"/>
      <c r="F200" s="32">
        <v>14.28</v>
      </c>
      <c r="G200" s="85"/>
    </row>
    <row r="201" spans="1:7" x14ac:dyDescent="0.25">
      <c r="A201" s="21">
        <v>3296</v>
      </c>
      <c r="B201" s="22"/>
      <c r="C201" s="23"/>
      <c r="D201" s="24" t="s">
        <v>94</v>
      </c>
      <c r="E201" s="32"/>
      <c r="F201" s="32"/>
      <c r="G201" s="85"/>
    </row>
    <row r="202" spans="1:7" ht="25.5" x14ac:dyDescent="0.25">
      <c r="A202" s="21">
        <v>3299</v>
      </c>
      <c r="B202" s="22"/>
      <c r="C202" s="23"/>
      <c r="D202" s="24" t="s">
        <v>53</v>
      </c>
      <c r="E202" s="32">
        <v>500</v>
      </c>
      <c r="F202" s="32">
        <v>141.91999999999999</v>
      </c>
      <c r="G202" s="85">
        <f t="shared" si="48"/>
        <v>28.383999999999997</v>
      </c>
    </row>
    <row r="203" spans="1:7" x14ac:dyDescent="0.25">
      <c r="A203" s="96">
        <v>34</v>
      </c>
      <c r="B203" s="97"/>
      <c r="C203" s="98"/>
      <c r="D203" s="14" t="s">
        <v>54</v>
      </c>
      <c r="E203" s="30">
        <f t="shared" ref="E203:F203" si="54">SUM(E204)</f>
        <v>510</v>
      </c>
      <c r="F203" s="30">
        <f t="shared" si="54"/>
        <v>169.12</v>
      </c>
      <c r="G203" s="85">
        <f t="shared" si="48"/>
        <v>33.160784313725486</v>
      </c>
    </row>
    <row r="204" spans="1:7" x14ac:dyDescent="0.25">
      <c r="A204" s="16">
        <v>343</v>
      </c>
      <c r="B204" s="17"/>
      <c r="C204" s="18"/>
      <c r="D204" s="19" t="s">
        <v>55</v>
      </c>
      <c r="E204" s="31">
        <f t="shared" ref="E204:F204" si="55">SUM(E205:E206)</f>
        <v>510</v>
      </c>
      <c r="F204" s="31">
        <f t="shared" si="55"/>
        <v>169.12</v>
      </c>
      <c r="G204" s="85">
        <f t="shared" si="48"/>
        <v>33.160784313725486</v>
      </c>
    </row>
    <row r="205" spans="1:7" ht="25.5" x14ac:dyDescent="0.25">
      <c r="A205" s="21">
        <v>3431</v>
      </c>
      <c r="B205" s="22"/>
      <c r="C205" s="23"/>
      <c r="D205" s="24" t="s">
        <v>95</v>
      </c>
      <c r="E205" s="32">
        <v>510</v>
      </c>
      <c r="F205" s="32">
        <v>169.12</v>
      </c>
      <c r="G205" s="85">
        <f t="shared" si="48"/>
        <v>33.160784313725486</v>
      </c>
    </row>
    <row r="206" spans="1:7" x14ac:dyDescent="0.25">
      <c r="A206" s="21">
        <v>3433</v>
      </c>
      <c r="B206" s="22"/>
      <c r="C206" s="23"/>
      <c r="D206" s="24" t="s">
        <v>96</v>
      </c>
      <c r="E206" s="32"/>
      <c r="F206" s="32"/>
      <c r="G206" s="85"/>
    </row>
    <row r="207" spans="1:7" ht="38.25" x14ac:dyDescent="0.25">
      <c r="A207" s="96">
        <v>37</v>
      </c>
      <c r="B207" s="97"/>
      <c r="C207" s="98"/>
      <c r="D207" s="14" t="s">
        <v>56</v>
      </c>
      <c r="E207" s="30">
        <f t="shared" ref="E207:F207" si="56">SUM(E208)</f>
        <v>0</v>
      </c>
      <c r="F207" s="30">
        <f t="shared" si="56"/>
        <v>0</v>
      </c>
      <c r="G207" s="85"/>
    </row>
    <row r="208" spans="1:7" ht="25.5" x14ac:dyDescent="0.25">
      <c r="A208" s="16">
        <v>372</v>
      </c>
      <c r="B208" s="17"/>
      <c r="C208" s="18"/>
      <c r="D208" s="19" t="s">
        <v>57</v>
      </c>
      <c r="E208" s="31"/>
      <c r="F208" s="31"/>
      <c r="G208" s="85"/>
    </row>
    <row r="209" spans="1:7" ht="25.5" x14ac:dyDescent="0.25">
      <c r="A209" s="21">
        <v>3721</v>
      </c>
      <c r="B209" s="22"/>
      <c r="C209" s="23"/>
      <c r="D209" s="24" t="s">
        <v>97</v>
      </c>
      <c r="E209" s="32"/>
      <c r="F209" s="32"/>
      <c r="G209" s="85"/>
    </row>
    <row r="210" spans="1:7" ht="25.5" x14ac:dyDescent="0.25">
      <c r="A210" s="21">
        <v>3722</v>
      </c>
      <c r="B210" s="22"/>
      <c r="C210" s="23"/>
      <c r="D210" s="24" t="s">
        <v>98</v>
      </c>
      <c r="E210" s="32"/>
      <c r="F210" s="32"/>
      <c r="G210" s="85"/>
    </row>
    <row r="211" spans="1:7" ht="25.5" x14ac:dyDescent="0.25">
      <c r="A211" s="34">
        <v>4</v>
      </c>
      <c r="B211" s="35"/>
      <c r="C211" s="36"/>
      <c r="D211" s="94" t="s">
        <v>45</v>
      </c>
      <c r="E211" s="29">
        <f t="shared" ref="E211:F211" si="57">SUM(E212)</f>
        <v>0</v>
      </c>
      <c r="F211" s="29">
        <f t="shared" si="57"/>
        <v>3263.94</v>
      </c>
      <c r="G211" s="85"/>
    </row>
    <row r="212" spans="1:7" ht="25.5" x14ac:dyDescent="0.25">
      <c r="A212" s="96">
        <v>42</v>
      </c>
      <c r="B212" s="97"/>
      <c r="C212" s="98"/>
      <c r="D212" s="14" t="s">
        <v>45</v>
      </c>
      <c r="E212" s="30">
        <f t="shared" ref="E212" si="58">SUM(E213+E220)</f>
        <v>0</v>
      </c>
      <c r="F212" s="30">
        <f t="shared" ref="F212" si="59">SUM(F213+F220)</f>
        <v>3263.94</v>
      </c>
      <c r="G212" s="85"/>
    </row>
    <row r="213" spans="1:7" x14ac:dyDescent="0.25">
      <c r="A213" s="16">
        <v>422</v>
      </c>
      <c r="B213" s="17"/>
      <c r="C213" s="18"/>
      <c r="D213" s="19" t="s">
        <v>58</v>
      </c>
      <c r="E213" s="31">
        <f t="shared" ref="E213:F213" si="60">SUM(E214:E219)</f>
        <v>0</v>
      </c>
      <c r="F213" s="31">
        <f t="shared" si="60"/>
        <v>3263.94</v>
      </c>
      <c r="G213" s="85"/>
    </row>
    <row r="214" spans="1:7" x14ac:dyDescent="0.25">
      <c r="A214" s="21">
        <v>4221</v>
      </c>
      <c r="B214" s="22"/>
      <c r="C214" s="23"/>
      <c r="D214" s="24" t="s">
        <v>99</v>
      </c>
      <c r="E214" s="32"/>
      <c r="F214" s="32"/>
      <c r="G214" s="85"/>
    </row>
    <row r="215" spans="1:7" x14ac:dyDescent="0.25">
      <c r="A215" s="21">
        <v>4222</v>
      </c>
      <c r="B215" s="22"/>
      <c r="C215" s="23"/>
      <c r="D215" s="24" t="s">
        <v>100</v>
      </c>
      <c r="E215" s="32"/>
      <c r="F215" s="32"/>
      <c r="G215" s="85"/>
    </row>
    <row r="216" spans="1:7" x14ac:dyDescent="0.25">
      <c r="A216" s="21">
        <v>4223</v>
      </c>
      <c r="B216" s="22"/>
      <c r="C216" s="23"/>
      <c r="D216" s="24" t="s">
        <v>101</v>
      </c>
      <c r="E216" s="32"/>
      <c r="F216" s="32"/>
      <c r="G216" s="85"/>
    </row>
    <row r="217" spans="1:7" x14ac:dyDescent="0.25">
      <c r="A217" s="21">
        <v>4225</v>
      </c>
      <c r="B217" s="22"/>
      <c r="C217" s="23"/>
      <c r="D217" s="24" t="s">
        <v>102</v>
      </c>
      <c r="E217" s="32"/>
      <c r="F217" s="32"/>
      <c r="G217" s="85"/>
    </row>
    <row r="218" spans="1:7" x14ac:dyDescent="0.25">
      <c r="A218" s="21">
        <v>4226</v>
      </c>
      <c r="B218" s="22"/>
      <c r="C218" s="23"/>
      <c r="D218" s="24" t="s">
        <v>103</v>
      </c>
      <c r="E218" s="32"/>
      <c r="F218" s="32"/>
      <c r="G218" s="85"/>
    </row>
    <row r="219" spans="1:7" ht="25.5" x14ac:dyDescent="0.25">
      <c r="A219" s="21">
        <v>4227</v>
      </c>
      <c r="B219" s="22"/>
      <c r="C219" s="23"/>
      <c r="D219" s="24" t="s">
        <v>104</v>
      </c>
      <c r="E219" s="32"/>
      <c r="F219" s="32">
        <v>3263.94</v>
      </c>
      <c r="G219" s="85"/>
    </row>
    <row r="220" spans="1:7" ht="25.5" x14ac:dyDescent="0.25">
      <c r="A220" s="16">
        <v>424</v>
      </c>
      <c r="B220" s="17"/>
      <c r="C220" s="18"/>
      <c r="D220" s="19" t="s">
        <v>59</v>
      </c>
      <c r="E220" s="31">
        <f t="shared" ref="E220:F220" si="61">SUM(E221)</f>
        <v>0</v>
      </c>
      <c r="F220" s="31">
        <f t="shared" si="61"/>
        <v>0</v>
      </c>
      <c r="G220" s="85"/>
    </row>
    <row r="221" spans="1:7" x14ac:dyDescent="0.25">
      <c r="A221" s="21">
        <v>4241</v>
      </c>
      <c r="B221" s="22"/>
      <c r="C221" s="23"/>
      <c r="D221" s="24" t="s">
        <v>105</v>
      </c>
      <c r="E221" s="32"/>
      <c r="F221" s="32"/>
      <c r="G221" s="85"/>
    </row>
    <row r="222" spans="1:7" x14ac:dyDescent="0.25">
      <c r="A222" s="21"/>
      <c r="B222" s="22"/>
      <c r="C222" s="23"/>
      <c r="D222" s="24"/>
      <c r="E222" s="32"/>
      <c r="F222" s="32"/>
      <c r="G222" s="85"/>
    </row>
    <row r="223" spans="1:7" s="7" customFormat="1" x14ac:dyDescent="0.25">
      <c r="A223" s="21"/>
      <c r="B223" s="22"/>
      <c r="C223" s="23"/>
      <c r="D223" s="28" t="s">
        <v>106</v>
      </c>
      <c r="E223" s="38">
        <f t="shared" ref="E223:F223" si="62">SUM(E158+E211)</f>
        <v>34363</v>
      </c>
      <c r="F223" s="38">
        <f t="shared" si="62"/>
        <v>17444.010000000002</v>
      </c>
      <c r="G223" s="85">
        <f t="shared" ref="G223" si="63">F223/E223*100</f>
        <v>50.763932136309407</v>
      </c>
    </row>
    <row r="224" spans="1:7" x14ac:dyDescent="0.25">
      <c r="A224" s="21"/>
      <c r="B224" s="22"/>
      <c r="C224" s="23"/>
      <c r="D224" s="24"/>
      <c r="E224" s="32"/>
      <c r="F224" s="32"/>
    </row>
    <row r="225" spans="1:8" ht="25.5" x14ac:dyDescent="0.25">
      <c r="A225" s="232" t="s">
        <v>30</v>
      </c>
      <c r="B225" s="233"/>
      <c r="C225" s="234"/>
      <c r="D225" s="8" t="s">
        <v>31</v>
      </c>
      <c r="E225" s="8" t="s">
        <v>107</v>
      </c>
      <c r="F225" s="8" t="s">
        <v>108</v>
      </c>
      <c r="G225" s="9" t="s">
        <v>158</v>
      </c>
    </row>
    <row r="226" spans="1:8" x14ac:dyDescent="0.25">
      <c r="A226" s="10"/>
      <c r="B226" s="2"/>
      <c r="C226" s="3"/>
      <c r="D226" s="11">
        <v>1</v>
      </c>
      <c r="E226" s="11">
        <v>2</v>
      </c>
      <c r="F226" s="11">
        <v>3</v>
      </c>
      <c r="G226" s="37" t="s">
        <v>161</v>
      </c>
      <c r="H226" s="4"/>
    </row>
    <row r="227" spans="1:8" ht="25.5" x14ac:dyDescent="0.25">
      <c r="A227" s="232" t="s">
        <v>30</v>
      </c>
      <c r="B227" s="233"/>
      <c r="C227" s="234"/>
      <c r="D227" s="8" t="s">
        <v>31</v>
      </c>
      <c r="E227" s="8" t="s">
        <v>107</v>
      </c>
      <c r="F227" s="8" t="s">
        <v>108</v>
      </c>
    </row>
    <row r="228" spans="1:8" ht="15" customHeight="1" x14ac:dyDescent="0.25">
      <c r="A228" s="223" t="s">
        <v>109</v>
      </c>
      <c r="B228" s="224"/>
      <c r="C228" s="225"/>
      <c r="D228" s="95" t="s">
        <v>37</v>
      </c>
      <c r="E228" s="12"/>
      <c r="F228" s="12"/>
      <c r="G228" s="6"/>
    </row>
    <row r="229" spans="1:8" ht="25.5" customHeight="1" x14ac:dyDescent="0.25">
      <c r="A229" s="223" t="s">
        <v>144</v>
      </c>
      <c r="B229" s="224"/>
      <c r="C229" s="225"/>
      <c r="D229" s="95" t="s">
        <v>145</v>
      </c>
      <c r="E229" s="12"/>
      <c r="F229" s="12"/>
      <c r="G229" s="6"/>
    </row>
    <row r="230" spans="1:8" ht="15" customHeight="1" x14ac:dyDescent="0.25">
      <c r="A230" s="226">
        <v>51</v>
      </c>
      <c r="B230" s="227"/>
      <c r="C230" s="228"/>
      <c r="D230" s="93" t="s">
        <v>114</v>
      </c>
      <c r="E230" s="12"/>
      <c r="F230" s="12"/>
      <c r="G230" s="6"/>
    </row>
    <row r="231" spans="1:8" x14ac:dyDescent="0.25">
      <c r="A231" s="229">
        <v>3</v>
      </c>
      <c r="B231" s="230"/>
      <c r="C231" s="231"/>
      <c r="D231" s="94" t="s">
        <v>20</v>
      </c>
      <c r="E231" s="29">
        <f t="shared" ref="E231:F231" si="64">SUM(E232+E242)</f>
        <v>1000</v>
      </c>
      <c r="F231" s="29">
        <f t="shared" si="64"/>
        <v>243.21</v>
      </c>
      <c r="G231" s="85">
        <f>F231/E231*100</f>
        <v>24.321000000000002</v>
      </c>
    </row>
    <row r="232" spans="1:8" x14ac:dyDescent="0.25">
      <c r="A232" s="220">
        <v>31</v>
      </c>
      <c r="B232" s="221"/>
      <c r="C232" s="222"/>
      <c r="D232" s="14" t="s">
        <v>21</v>
      </c>
      <c r="E232" s="30">
        <f t="shared" ref="E232:F232" si="65">SUM(E233+E237+E239)</f>
        <v>0</v>
      </c>
      <c r="F232" s="30">
        <f t="shared" si="65"/>
        <v>0</v>
      </c>
      <c r="G232" s="6"/>
    </row>
    <row r="233" spans="1:8" ht="15" customHeight="1" x14ac:dyDescent="0.25">
      <c r="A233" s="16">
        <v>311</v>
      </c>
      <c r="B233" s="17"/>
      <c r="C233" s="18"/>
      <c r="D233" s="19" t="s">
        <v>48</v>
      </c>
      <c r="E233" s="31">
        <f t="shared" ref="E233:F233" si="66">SUM(E234:E236)</f>
        <v>0</v>
      </c>
      <c r="F233" s="31">
        <f t="shared" si="66"/>
        <v>0</v>
      </c>
      <c r="G233" s="6"/>
    </row>
    <row r="234" spans="1:8" x14ac:dyDescent="0.25">
      <c r="A234" s="21">
        <v>3111</v>
      </c>
      <c r="B234" s="22"/>
      <c r="C234" s="23"/>
      <c r="D234" s="24" t="s">
        <v>60</v>
      </c>
      <c r="E234" s="32"/>
      <c r="F234" s="32"/>
      <c r="G234" s="6"/>
    </row>
    <row r="235" spans="1:8" x14ac:dyDescent="0.25">
      <c r="A235" s="21">
        <v>3113</v>
      </c>
      <c r="B235" s="22"/>
      <c r="C235" s="23"/>
      <c r="D235" s="24" t="s">
        <v>61</v>
      </c>
      <c r="E235" s="32"/>
      <c r="F235" s="32"/>
      <c r="G235" s="6"/>
    </row>
    <row r="236" spans="1:8" x14ac:dyDescent="0.25">
      <c r="A236" s="21">
        <v>3114</v>
      </c>
      <c r="B236" s="22"/>
      <c r="C236" s="23"/>
      <c r="D236" s="24" t="s">
        <v>62</v>
      </c>
      <c r="E236" s="32"/>
      <c r="F236" s="32"/>
      <c r="G236" s="6"/>
    </row>
    <row r="237" spans="1:8" x14ac:dyDescent="0.25">
      <c r="A237" s="16">
        <v>312</v>
      </c>
      <c r="B237" s="17"/>
      <c r="C237" s="18"/>
      <c r="D237" s="19" t="s">
        <v>63</v>
      </c>
      <c r="E237" s="31">
        <f t="shared" ref="E237:F237" si="67">SUM(E238)</f>
        <v>0</v>
      </c>
      <c r="F237" s="31">
        <f t="shared" si="67"/>
        <v>0</v>
      </c>
      <c r="G237" s="6"/>
    </row>
    <row r="238" spans="1:8" x14ac:dyDescent="0.25">
      <c r="A238" s="21">
        <v>3121</v>
      </c>
      <c r="B238" s="22"/>
      <c r="C238" s="23"/>
      <c r="D238" s="24" t="s">
        <v>64</v>
      </c>
      <c r="E238" s="32"/>
      <c r="F238" s="32"/>
      <c r="G238" s="6"/>
    </row>
    <row r="239" spans="1:8" x14ac:dyDescent="0.25">
      <c r="A239" s="16">
        <v>313</v>
      </c>
      <c r="B239" s="17"/>
      <c r="C239" s="18"/>
      <c r="D239" s="19" t="s">
        <v>49</v>
      </c>
      <c r="E239" s="31">
        <f t="shared" ref="E239" si="68">SUM(E240:E241)</f>
        <v>0</v>
      </c>
      <c r="F239" s="31">
        <f t="shared" ref="F239" si="69">SUM(F240:F241)</f>
        <v>0</v>
      </c>
      <c r="G239" s="6"/>
    </row>
    <row r="240" spans="1:8" x14ac:dyDescent="0.25">
      <c r="A240" s="21">
        <v>3131</v>
      </c>
      <c r="B240" s="22"/>
      <c r="C240" s="23"/>
      <c r="D240" s="24" t="s">
        <v>65</v>
      </c>
      <c r="E240" s="32"/>
      <c r="F240" s="32"/>
      <c r="G240" s="6"/>
    </row>
    <row r="241" spans="1:7" ht="25.5" x14ac:dyDescent="0.25">
      <c r="A241" s="21">
        <v>3132</v>
      </c>
      <c r="B241" s="22"/>
      <c r="C241" s="23"/>
      <c r="D241" s="24" t="s">
        <v>66</v>
      </c>
      <c r="E241" s="32"/>
      <c r="F241" s="32"/>
      <c r="G241" s="6"/>
    </row>
    <row r="242" spans="1:7" x14ac:dyDescent="0.25">
      <c r="A242" s="220">
        <v>32</v>
      </c>
      <c r="B242" s="221"/>
      <c r="C242" s="222"/>
      <c r="D242" s="14" t="s">
        <v>32</v>
      </c>
      <c r="E242" s="30">
        <f t="shared" ref="E242:F242" si="70">SUM(E243+E248+E256)</f>
        <v>1000</v>
      </c>
      <c r="F242" s="30">
        <f t="shared" si="70"/>
        <v>243.21</v>
      </c>
      <c r="G242" s="85">
        <f>F242/E242*100</f>
        <v>24.321000000000002</v>
      </c>
    </row>
    <row r="243" spans="1:7" x14ac:dyDescent="0.25">
      <c r="A243" s="16">
        <v>321</v>
      </c>
      <c r="B243" s="17"/>
      <c r="C243" s="18"/>
      <c r="D243" s="19" t="s">
        <v>50</v>
      </c>
      <c r="E243" s="31">
        <f t="shared" ref="E243:F243" si="71">SUM(E244:E247)</f>
        <v>0</v>
      </c>
      <c r="F243" s="31">
        <f t="shared" si="71"/>
        <v>0</v>
      </c>
      <c r="G243" s="6"/>
    </row>
    <row r="244" spans="1:7" x14ac:dyDescent="0.25">
      <c r="A244" s="21">
        <v>3211</v>
      </c>
      <c r="B244" s="22"/>
      <c r="C244" s="23"/>
      <c r="D244" s="24" t="s">
        <v>67</v>
      </c>
      <c r="E244" s="32"/>
      <c r="F244" s="32"/>
      <c r="G244" s="6"/>
    </row>
    <row r="245" spans="1:7" ht="25.5" x14ac:dyDescent="0.25">
      <c r="A245" s="21">
        <v>3212</v>
      </c>
      <c r="B245" s="22"/>
      <c r="C245" s="23"/>
      <c r="D245" s="24" t="s">
        <v>138</v>
      </c>
      <c r="E245" s="32"/>
      <c r="F245" s="32"/>
      <c r="G245" s="6"/>
    </row>
    <row r="246" spans="1:7" x14ac:dyDescent="0.25">
      <c r="A246" s="21">
        <v>3213</v>
      </c>
      <c r="B246" s="22"/>
      <c r="C246" s="23"/>
      <c r="D246" s="24" t="s">
        <v>69</v>
      </c>
      <c r="E246" s="32"/>
      <c r="F246" s="32"/>
      <c r="G246" s="6"/>
    </row>
    <row r="247" spans="1:7" ht="25.5" x14ac:dyDescent="0.25">
      <c r="A247" s="21">
        <v>3214</v>
      </c>
      <c r="B247" s="22"/>
      <c r="C247" s="23"/>
      <c r="D247" s="24" t="s">
        <v>70</v>
      </c>
      <c r="E247" s="32"/>
      <c r="F247" s="32"/>
      <c r="G247" s="6"/>
    </row>
    <row r="248" spans="1:7" x14ac:dyDescent="0.25">
      <c r="A248" s="16">
        <v>322</v>
      </c>
      <c r="B248" s="17"/>
      <c r="C248" s="18"/>
      <c r="D248" s="19" t="s">
        <v>51</v>
      </c>
      <c r="E248" s="31">
        <f t="shared" ref="E248:F248" si="72">SUM(E249:E255)</f>
        <v>1000</v>
      </c>
      <c r="F248" s="31">
        <f t="shared" si="72"/>
        <v>243.21</v>
      </c>
      <c r="G248" s="85">
        <f>F248/E248*100</f>
        <v>24.321000000000002</v>
      </c>
    </row>
    <row r="249" spans="1:7" ht="25.5" x14ac:dyDescent="0.25">
      <c r="A249" s="21">
        <v>3221</v>
      </c>
      <c r="B249" s="22"/>
      <c r="C249" s="23"/>
      <c r="D249" s="24" t="s">
        <v>71</v>
      </c>
      <c r="E249" s="32"/>
      <c r="F249" s="32"/>
      <c r="G249" s="6"/>
    </row>
    <row r="250" spans="1:7" x14ac:dyDescent="0.25">
      <c r="A250" s="21">
        <v>3222</v>
      </c>
      <c r="B250" s="22"/>
      <c r="C250" s="23"/>
      <c r="D250" s="24" t="s">
        <v>72</v>
      </c>
      <c r="E250" s="32">
        <v>1000</v>
      </c>
      <c r="F250" s="32">
        <v>243.21</v>
      </c>
      <c r="G250" s="85">
        <f>F250/E250*100</f>
        <v>24.321000000000002</v>
      </c>
    </row>
    <row r="251" spans="1:7" x14ac:dyDescent="0.25">
      <c r="A251" s="21">
        <v>3223</v>
      </c>
      <c r="B251" s="22"/>
      <c r="C251" s="23"/>
      <c r="D251" s="24" t="s">
        <v>73</v>
      </c>
      <c r="E251" s="32"/>
      <c r="F251" s="32"/>
      <c r="G251" s="6"/>
    </row>
    <row r="252" spans="1:7" ht="25.5" x14ac:dyDescent="0.25">
      <c r="A252" s="21">
        <v>3224</v>
      </c>
      <c r="B252" s="22"/>
      <c r="C252" s="23"/>
      <c r="D252" s="24" t="s">
        <v>74</v>
      </c>
      <c r="E252" s="32"/>
      <c r="F252" s="32"/>
      <c r="G252" s="6"/>
    </row>
    <row r="253" spans="1:7" x14ac:dyDescent="0.25">
      <c r="A253" s="21">
        <v>3225</v>
      </c>
      <c r="B253" s="22"/>
      <c r="C253" s="23"/>
      <c r="D253" s="24" t="s">
        <v>75</v>
      </c>
      <c r="E253" s="32"/>
      <c r="F253" s="32"/>
      <c r="G253" s="6"/>
    </row>
    <row r="254" spans="1:7" ht="25.5" x14ac:dyDescent="0.25">
      <c r="A254" s="21">
        <v>3226</v>
      </c>
      <c r="B254" s="22"/>
      <c r="C254" s="23"/>
      <c r="D254" s="24" t="s">
        <v>76</v>
      </c>
      <c r="E254" s="32"/>
      <c r="F254" s="32"/>
      <c r="G254" s="6"/>
    </row>
    <row r="255" spans="1:7" ht="25.5" x14ac:dyDescent="0.25">
      <c r="A255" s="21">
        <v>3227</v>
      </c>
      <c r="B255" s="22"/>
      <c r="C255" s="23"/>
      <c r="D255" s="24" t="s">
        <v>77</v>
      </c>
      <c r="E255" s="32"/>
      <c r="F255" s="32"/>
      <c r="G255" s="6"/>
    </row>
    <row r="256" spans="1:7" x14ac:dyDescent="0.25">
      <c r="A256" s="16">
        <v>323</v>
      </c>
      <c r="B256" s="17"/>
      <c r="C256" s="18"/>
      <c r="D256" s="19" t="s">
        <v>52</v>
      </c>
      <c r="E256" s="31">
        <f t="shared" ref="E256:F256" si="73">SUM(E257:E265)</f>
        <v>0</v>
      </c>
      <c r="F256" s="31">
        <f t="shared" si="73"/>
        <v>0</v>
      </c>
      <c r="G256" s="6"/>
    </row>
    <row r="257" spans="1:8" x14ac:dyDescent="0.25">
      <c r="A257" s="21">
        <v>3231</v>
      </c>
      <c r="B257" s="22"/>
      <c r="C257" s="23"/>
      <c r="D257" s="24" t="s">
        <v>78</v>
      </c>
      <c r="E257" s="32"/>
      <c r="F257" s="32"/>
      <c r="G257" s="6"/>
    </row>
    <row r="258" spans="1:8" ht="25.5" x14ac:dyDescent="0.25">
      <c r="A258" s="21">
        <v>3232</v>
      </c>
      <c r="B258" s="22"/>
      <c r="C258" s="23"/>
      <c r="D258" s="24" t="s">
        <v>79</v>
      </c>
      <c r="E258" s="32"/>
      <c r="F258" s="32"/>
      <c r="G258" s="6"/>
    </row>
    <row r="259" spans="1:8" x14ac:dyDescent="0.25">
      <c r="A259" s="21">
        <v>3233</v>
      </c>
      <c r="B259" s="22"/>
      <c r="C259" s="23"/>
      <c r="D259" s="24" t="s">
        <v>80</v>
      </c>
      <c r="E259" s="32"/>
      <c r="F259" s="32"/>
      <c r="G259" s="6"/>
    </row>
    <row r="260" spans="1:8" x14ac:dyDescent="0.25">
      <c r="A260" s="21">
        <v>3234</v>
      </c>
      <c r="B260" s="22"/>
      <c r="C260" s="23"/>
      <c r="D260" s="24" t="s">
        <v>81</v>
      </c>
      <c r="E260" s="32"/>
      <c r="F260" s="32"/>
      <c r="G260" s="6"/>
    </row>
    <row r="261" spans="1:8" x14ac:dyDescent="0.25">
      <c r="A261" s="21">
        <v>3235</v>
      </c>
      <c r="B261" s="22"/>
      <c r="C261" s="23"/>
      <c r="D261" s="24" t="s">
        <v>82</v>
      </c>
      <c r="E261" s="32"/>
      <c r="F261" s="32"/>
      <c r="G261" s="6"/>
    </row>
    <row r="262" spans="1:8" x14ac:dyDescent="0.25">
      <c r="A262" s="21">
        <v>3236</v>
      </c>
      <c r="B262" s="22"/>
      <c r="C262" s="23"/>
      <c r="D262" s="24" t="s">
        <v>83</v>
      </c>
      <c r="E262" s="32"/>
      <c r="F262" s="32"/>
      <c r="G262" s="6"/>
    </row>
    <row r="263" spans="1:8" x14ac:dyDescent="0.25">
      <c r="A263" s="21">
        <v>3237</v>
      </c>
      <c r="B263" s="22"/>
      <c r="C263" s="23"/>
      <c r="D263" s="24" t="s">
        <v>84</v>
      </c>
      <c r="E263" s="32"/>
      <c r="F263" s="32"/>
      <c r="G263" s="6"/>
    </row>
    <row r="264" spans="1:8" x14ac:dyDescent="0.25">
      <c r="A264" s="21">
        <v>3238</v>
      </c>
      <c r="B264" s="22"/>
      <c r="C264" s="23"/>
      <c r="D264" s="24" t="s">
        <v>85</v>
      </c>
      <c r="E264" s="32"/>
      <c r="F264" s="32"/>
      <c r="G264" s="6"/>
    </row>
    <row r="265" spans="1:8" x14ac:dyDescent="0.25">
      <c r="A265" s="21">
        <v>3239</v>
      </c>
      <c r="B265" s="22"/>
      <c r="C265" s="23"/>
      <c r="D265" s="24" t="s">
        <v>86</v>
      </c>
      <c r="E265" s="32"/>
      <c r="F265" s="32"/>
      <c r="G265" s="6"/>
    </row>
    <row r="266" spans="1:8" x14ac:dyDescent="0.25">
      <c r="A266" s="39"/>
      <c r="B266" s="39"/>
      <c r="C266" s="39"/>
      <c r="D266" s="28" t="s">
        <v>106</v>
      </c>
      <c r="E266" s="40">
        <f t="shared" ref="E266:F266" si="74">SUM(E231)</f>
        <v>1000</v>
      </c>
      <c r="F266" s="40">
        <f t="shared" si="74"/>
        <v>243.21</v>
      </c>
      <c r="G266" s="85">
        <f>F266/E266*100</f>
        <v>24.321000000000002</v>
      </c>
    </row>
    <row r="267" spans="1:8" x14ac:dyDescent="0.25">
      <c r="A267" s="39"/>
      <c r="B267" s="39"/>
      <c r="C267" s="39"/>
      <c r="D267" s="41"/>
      <c r="E267" s="42"/>
      <c r="F267" s="42"/>
    </row>
    <row r="268" spans="1:8" x14ac:dyDescent="0.25">
      <c r="A268" s="39"/>
      <c r="B268" s="39"/>
      <c r="C268" s="39"/>
      <c r="D268" s="41"/>
      <c r="E268" s="42"/>
      <c r="F268" s="42"/>
    </row>
    <row r="269" spans="1:8" x14ac:dyDescent="0.25">
      <c r="A269" s="39"/>
      <c r="B269" s="39"/>
      <c r="C269" s="39"/>
      <c r="D269" s="41"/>
      <c r="E269" s="42"/>
      <c r="F269" s="42"/>
    </row>
    <row r="270" spans="1:8" ht="25.5" x14ac:dyDescent="0.25">
      <c r="A270" s="232" t="s">
        <v>30</v>
      </c>
      <c r="B270" s="233"/>
      <c r="C270" s="234"/>
      <c r="D270" s="8" t="s">
        <v>31</v>
      </c>
      <c r="E270" s="8" t="s">
        <v>107</v>
      </c>
      <c r="F270" s="8" t="s">
        <v>108</v>
      </c>
      <c r="G270" s="9" t="s">
        <v>158</v>
      </c>
    </row>
    <row r="271" spans="1:8" x14ac:dyDescent="0.25">
      <c r="A271" s="10"/>
      <c r="B271" s="2"/>
      <c r="C271" s="3"/>
      <c r="D271" s="11">
        <v>1</v>
      </c>
      <c r="E271" s="11">
        <v>2</v>
      </c>
      <c r="F271" s="11">
        <v>3</v>
      </c>
      <c r="G271" s="37" t="s">
        <v>161</v>
      </c>
      <c r="H271" s="4"/>
    </row>
    <row r="272" spans="1:8" ht="15" customHeight="1" x14ac:dyDescent="0.25">
      <c r="A272" s="223" t="s">
        <v>109</v>
      </c>
      <c r="B272" s="224"/>
      <c r="C272" s="225"/>
      <c r="D272" s="95" t="s">
        <v>37</v>
      </c>
      <c r="E272" s="12"/>
      <c r="F272" s="12"/>
      <c r="G272" s="6"/>
    </row>
    <row r="273" spans="1:7" ht="25.5" customHeight="1" x14ac:dyDescent="0.25">
      <c r="A273" s="223" t="s">
        <v>140</v>
      </c>
      <c r="B273" s="224"/>
      <c r="C273" s="225"/>
      <c r="D273" s="95" t="s">
        <v>147</v>
      </c>
      <c r="E273" s="12"/>
      <c r="F273" s="12"/>
      <c r="G273" s="6"/>
    </row>
    <row r="274" spans="1:7" ht="15" customHeight="1" x14ac:dyDescent="0.25">
      <c r="A274" s="226">
        <v>52</v>
      </c>
      <c r="B274" s="227"/>
      <c r="C274" s="228"/>
      <c r="D274" s="93" t="s">
        <v>43</v>
      </c>
      <c r="E274" s="12"/>
      <c r="F274" s="12"/>
      <c r="G274" s="6"/>
    </row>
    <row r="275" spans="1:7" x14ac:dyDescent="0.25">
      <c r="A275" s="229">
        <v>3</v>
      </c>
      <c r="B275" s="230"/>
      <c r="C275" s="231"/>
      <c r="D275" s="94" t="s">
        <v>20</v>
      </c>
      <c r="E275" s="29">
        <f>SUM(E276+E286+E319+E323)</f>
        <v>498900</v>
      </c>
      <c r="F275" s="29">
        <f t="shared" ref="F275" si="75">SUM(F276+F286+F319+F323)</f>
        <v>270345.03000000003</v>
      </c>
      <c r="G275" s="85">
        <f>F275/E275*100</f>
        <v>54.188220084185211</v>
      </c>
    </row>
    <row r="276" spans="1:7" x14ac:dyDescent="0.25">
      <c r="A276" s="220">
        <v>31</v>
      </c>
      <c r="B276" s="221"/>
      <c r="C276" s="222"/>
      <c r="D276" s="14" t="s">
        <v>21</v>
      </c>
      <c r="E276" s="30">
        <f>SUM(E277+E281+E283)</f>
        <v>461500</v>
      </c>
      <c r="F276" s="30">
        <f t="shared" ref="F276" si="76">SUM(F277+F281+F283)</f>
        <v>246992.26</v>
      </c>
      <c r="G276" s="85">
        <f t="shared" ref="G276:G278" si="77">F276/E276*100</f>
        <v>53.519449620801737</v>
      </c>
    </row>
    <row r="277" spans="1:7" ht="15" customHeight="1" x14ac:dyDescent="0.25">
      <c r="A277" s="16">
        <v>311</v>
      </c>
      <c r="B277" s="17"/>
      <c r="C277" s="18"/>
      <c r="D277" s="19" t="s">
        <v>48</v>
      </c>
      <c r="E277" s="31">
        <f t="shared" ref="E277:F277" si="78">SUM(E278:E280)</f>
        <v>385000</v>
      </c>
      <c r="F277" s="31">
        <f t="shared" si="78"/>
        <v>204490.5</v>
      </c>
      <c r="G277" s="85">
        <f t="shared" si="77"/>
        <v>53.114415584415589</v>
      </c>
    </row>
    <row r="278" spans="1:7" x14ac:dyDescent="0.25">
      <c r="A278" s="21">
        <v>3111</v>
      </c>
      <c r="B278" s="22"/>
      <c r="C278" s="23"/>
      <c r="D278" s="24" t="s">
        <v>60</v>
      </c>
      <c r="E278" s="32">
        <v>385000</v>
      </c>
      <c r="F278" s="32">
        <v>204490.5</v>
      </c>
      <c r="G278" s="85">
        <f t="shared" si="77"/>
        <v>53.114415584415589</v>
      </c>
    </row>
    <row r="279" spans="1:7" x14ac:dyDescent="0.25">
      <c r="A279" s="21">
        <v>3113</v>
      </c>
      <c r="B279" s="22"/>
      <c r="C279" s="23"/>
      <c r="D279" s="24" t="s">
        <v>61</v>
      </c>
      <c r="E279" s="32"/>
      <c r="F279" s="32"/>
      <c r="G279" s="6"/>
    </row>
    <row r="280" spans="1:7" x14ac:dyDescent="0.25">
      <c r="A280" s="21">
        <v>3114</v>
      </c>
      <c r="B280" s="22"/>
      <c r="C280" s="23"/>
      <c r="D280" s="24" t="s">
        <v>62</v>
      </c>
      <c r="E280" s="32"/>
      <c r="F280" s="32"/>
      <c r="G280" s="6"/>
    </row>
    <row r="281" spans="1:7" x14ac:dyDescent="0.25">
      <c r="A281" s="16">
        <v>312</v>
      </c>
      <c r="B281" s="17"/>
      <c r="C281" s="18"/>
      <c r="D281" s="19" t="s">
        <v>63</v>
      </c>
      <c r="E281" s="31">
        <f t="shared" ref="E281:F281" si="79">SUM(E282)</f>
        <v>15500</v>
      </c>
      <c r="F281" s="31">
        <f t="shared" si="79"/>
        <v>8760.8700000000008</v>
      </c>
      <c r="G281" s="85">
        <f t="shared" ref="G281:G283" si="80">F281/E281*100</f>
        <v>56.521741935483874</v>
      </c>
    </row>
    <row r="282" spans="1:7" x14ac:dyDescent="0.25">
      <c r="A282" s="21">
        <v>3121</v>
      </c>
      <c r="B282" s="22"/>
      <c r="C282" s="23"/>
      <c r="D282" s="24" t="s">
        <v>64</v>
      </c>
      <c r="E282" s="32">
        <v>15500</v>
      </c>
      <c r="F282" s="32">
        <v>8760.8700000000008</v>
      </c>
      <c r="G282" s="85">
        <f t="shared" si="80"/>
        <v>56.521741935483874</v>
      </c>
    </row>
    <row r="283" spans="1:7" x14ac:dyDescent="0.25">
      <c r="A283" s="16">
        <v>313</v>
      </c>
      <c r="B283" s="17"/>
      <c r="C283" s="18"/>
      <c r="D283" s="19" t="s">
        <v>49</v>
      </c>
      <c r="E283" s="31">
        <f t="shared" ref="E283" si="81">SUM(E284:E285)</f>
        <v>61000</v>
      </c>
      <c r="F283" s="31">
        <f t="shared" ref="F283" si="82">SUM(F284:F285)</f>
        <v>33740.89</v>
      </c>
      <c r="G283" s="85">
        <f t="shared" si="80"/>
        <v>55.312934426229511</v>
      </c>
    </row>
    <row r="284" spans="1:7" x14ac:dyDescent="0.25">
      <c r="A284" s="21">
        <v>3131</v>
      </c>
      <c r="B284" s="22"/>
      <c r="C284" s="23"/>
      <c r="D284" s="24" t="s">
        <v>65</v>
      </c>
      <c r="E284" s="32"/>
      <c r="F284" s="32"/>
      <c r="G284" s="6"/>
    </row>
    <row r="285" spans="1:7" ht="25.5" x14ac:dyDescent="0.25">
      <c r="A285" s="21">
        <v>3132</v>
      </c>
      <c r="B285" s="22"/>
      <c r="C285" s="23"/>
      <c r="D285" s="24" t="s">
        <v>66</v>
      </c>
      <c r="E285" s="32">
        <v>61000</v>
      </c>
      <c r="F285" s="32">
        <v>33740.89</v>
      </c>
      <c r="G285" s="85">
        <f t="shared" ref="G285:G287" si="83">F285/E285*100</f>
        <v>55.312934426229511</v>
      </c>
    </row>
    <row r="286" spans="1:7" x14ac:dyDescent="0.25">
      <c r="A286" s="220">
        <v>32</v>
      </c>
      <c r="B286" s="221"/>
      <c r="C286" s="222"/>
      <c r="D286" s="14" t="s">
        <v>32</v>
      </c>
      <c r="E286" s="30">
        <f>SUM(E287+E292+E300+E310+E311)</f>
        <v>33500</v>
      </c>
      <c r="F286" s="30">
        <f t="shared" ref="F286" si="84">SUM(F287+F292+F300+F310+F311)</f>
        <v>23352.769999999997</v>
      </c>
      <c r="G286" s="85">
        <f t="shared" si="83"/>
        <v>69.709761194029838</v>
      </c>
    </row>
    <row r="287" spans="1:7" x14ac:dyDescent="0.25">
      <c r="A287" s="16">
        <v>321</v>
      </c>
      <c r="B287" s="17"/>
      <c r="C287" s="18"/>
      <c r="D287" s="19" t="s">
        <v>50</v>
      </c>
      <c r="E287" s="31">
        <f t="shared" ref="E287:F287" si="85">SUM(E288:E291)</f>
        <v>18600</v>
      </c>
      <c r="F287" s="31">
        <f t="shared" si="85"/>
        <v>9110.83</v>
      </c>
      <c r="G287" s="85">
        <f t="shared" si="83"/>
        <v>48.982956989247313</v>
      </c>
    </row>
    <row r="288" spans="1:7" x14ac:dyDescent="0.25">
      <c r="A288" s="21">
        <v>3211</v>
      </c>
      <c r="B288" s="22"/>
      <c r="C288" s="23"/>
      <c r="D288" s="24" t="s">
        <v>67</v>
      </c>
      <c r="E288" s="32"/>
      <c r="F288" s="32"/>
      <c r="G288" s="6"/>
    </row>
    <row r="289" spans="1:7" ht="25.5" x14ac:dyDescent="0.25">
      <c r="A289" s="21">
        <v>3212</v>
      </c>
      <c r="B289" s="22"/>
      <c r="C289" s="23"/>
      <c r="D289" s="24" t="s">
        <v>138</v>
      </c>
      <c r="E289" s="32">
        <v>18600</v>
      </c>
      <c r="F289" s="32">
        <v>9110.83</v>
      </c>
      <c r="G289" s="85">
        <f>F289/E289*100</f>
        <v>48.982956989247313</v>
      </c>
    </row>
    <row r="290" spans="1:7" x14ac:dyDescent="0.25">
      <c r="A290" s="21">
        <v>3213</v>
      </c>
      <c r="B290" s="22"/>
      <c r="C290" s="23"/>
      <c r="D290" s="24" t="s">
        <v>69</v>
      </c>
      <c r="E290" s="32"/>
      <c r="F290" s="32"/>
      <c r="G290" s="6"/>
    </row>
    <row r="291" spans="1:7" ht="25.5" x14ac:dyDescent="0.25">
      <c r="A291" s="21">
        <v>3214</v>
      </c>
      <c r="B291" s="22"/>
      <c r="C291" s="23"/>
      <c r="D291" s="24" t="s">
        <v>70</v>
      </c>
      <c r="E291" s="32"/>
      <c r="F291" s="32"/>
      <c r="G291" s="6"/>
    </row>
    <row r="292" spans="1:7" x14ac:dyDescent="0.25">
      <c r="A292" s="16">
        <v>322</v>
      </c>
      <c r="B292" s="17"/>
      <c r="C292" s="18"/>
      <c r="D292" s="19" t="s">
        <v>51</v>
      </c>
      <c r="E292" s="31">
        <f t="shared" ref="E292:F292" si="86">SUM(E293:E299)</f>
        <v>13000</v>
      </c>
      <c r="F292" s="31">
        <f t="shared" si="86"/>
        <v>13417.509999999998</v>
      </c>
      <c r="G292" s="85">
        <f t="shared" ref="G292:G294" si="87">F292/E292*100</f>
        <v>103.21161538461536</v>
      </c>
    </row>
    <row r="293" spans="1:7" ht="25.5" x14ac:dyDescent="0.25">
      <c r="A293" s="21">
        <v>3221</v>
      </c>
      <c r="B293" s="22"/>
      <c r="C293" s="23"/>
      <c r="D293" s="24" t="s">
        <v>71</v>
      </c>
      <c r="E293" s="32"/>
      <c r="F293" s="32">
        <v>607.54</v>
      </c>
      <c r="G293" s="85"/>
    </row>
    <row r="294" spans="1:7" x14ac:dyDescent="0.25">
      <c r="A294" s="21">
        <v>3222</v>
      </c>
      <c r="B294" s="22"/>
      <c r="C294" s="23"/>
      <c r="D294" s="24" t="s">
        <v>72</v>
      </c>
      <c r="E294" s="32">
        <v>13000</v>
      </c>
      <c r="F294" s="32">
        <v>12809.97</v>
      </c>
      <c r="G294" s="85">
        <f t="shared" si="87"/>
        <v>98.538230769230765</v>
      </c>
    </row>
    <row r="295" spans="1:7" x14ac:dyDescent="0.25">
      <c r="A295" s="21">
        <v>3223</v>
      </c>
      <c r="B295" s="22"/>
      <c r="C295" s="23"/>
      <c r="D295" s="24" t="s">
        <v>73</v>
      </c>
      <c r="E295" s="32"/>
      <c r="F295" s="32"/>
      <c r="G295" s="6"/>
    </row>
    <row r="296" spans="1:7" ht="25.5" x14ac:dyDescent="0.25">
      <c r="A296" s="21">
        <v>3224</v>
      </c>
      <c r="B296" s="22"/>
      <c r="C296" s="23"/>
      <c r="D296" s="24" t="s">
        <v>74</v>
      </c>
      <c r="E296" s="32"/>
      <c r="F296" s="32"/>
      <c r="G296" s="6"/>
    </row>
    <row r="297" spans="1:7" x14ac:dyDescent="0.25">
      <c r="A297" s="21">
        <v>3225</v>
      </c>
      <c r="B297" s="22"/>
      <c r="C297" s="23"/>
      <c r="D297" s="24" t="s">
        <v>75</v>
      </c>
      <c r="E297" s="32"/>
      <c r="F297" s="32"/>
      <c r="G297" s="6"/>
    </row>
    <row r="298" spans="1:7" ht="25.5" x14ac:dyDescent="0.25">
      <c r="A298" s="21">
        <v>3226</v>
      </c>
      <c r="B298" s="22"/>
      <c r="C298" s="23"/>
      <c r="D298" s="24" t="s">
        <v>76</v>
      </c>
      <c r="E298" s="32"/>
      <c r="F298" s="32"/>
      <c r="G298" s="6"/>
    </row>
    <row r="299" spans="1:7" ht="25.5" x14ac:dyDescent="0.25">
      <c r="A299" s="21">
        <v>3227</v>
      </c>
      <c r="B299" s="22"/>
      <c r="C299" s="23"/>
      <c r="D299" s="24" t="s">
        <v>77</v>
      </c>
      <c r="E299" s="32"/>
      <c r="F299" s="32"/>
      <c r="G299" s="6"/>
    </row>
    <row r="300" spans="1:7" x14ac:dyDescent="0.25">
      <c r="A300" s="16">
        <v>323</v>
      </c>
      <c r="B300" s="17"/>
      <c r="C300" s="18"/>
      <c r="D300" s="19" t="s">
        <v>52</v>
      </c>
      <c r="E300" s="31">
        <f t="shared" ref="E300:F300" si="88">SUM(E301:E309)</f>
        <v>0</v>
      </c>
      <c r="F300" s="31">
        <f t="shared" si="88"/>
        <v>0</v>
      </c>
      <c r="G300" s="6"/>
    </row>
    <row r="301" spans="1:7" x14ac:dyDescent="0.25">
      <c r="A301" s="21">
        <v>3231</v>
      </c>
      <c r="B301" s="22"/>
      <c r="C301" s="23"/>
      <c r="D301" s="24" t="s">
        <v>78</v>
      </c>
      <c r="E301" s="32"/>
      <c r="F301" s="32"/>
      <c r="G301" s="6"/>
    </row>
    <row r="302" spans="1:7" ht="25.5" x14ac:dyDescent="0.25">
      <c r="A302" s="21">
        <v>3232</v>
      </c>
      <c r="B302" s="22"/>
      <c r="C302" s="23"/>
      <c r="D302" s="24" t="s">
        <v>79</v>
      </c>
      <c r="E302" s="32"/>
      <c r="F302" s="32"/>
      <c r="G302" s="6"/>
    </row>
    <row r="303" spans="1:7" x14ac:dyDescent="0.25">
      <c r="A303" s="21">
        <v>3233</v>
      </c>
      <c r="B303" s="22"/>
      <c r="C303" s="23"/>
      <c r="D303" s="24" t="s">
        <v>80</v>
      </c>
      <c r="E303" s="32"/>
      <c r="F303" s="32"/>
      <c r="G303" s="6"/>
    </row>
    <row r="304" spans="1:7" x14ac:dyDescent="0.25">
      <c r="A304" s="21">
        <v>3234</v>
      </c>
      <c r="B304" s="22"/>
      <c r="C304" s="23"/>
      <c r="D304" s="24" t="s">
        <v>81</v>
      </c>
      <c r="E304" s="32"/>
      <c r="F304" s="32"/>
      <c r="G304" s="6"/>
    </row>
    <row r="305" spans="1:7" x14ac:dyDescent="0.25">
      <c r="A305" s="21">
        <v>3235</v>
      </c>
      <c r="B305" s="22"/>
      <c r="C305" s="23"/>
      <c r="D305" s="24" t="s">
        <v>82</v>
      </c>
      <c r="E305" s="32"/>
      <c r="F305" s="32"/>
      <c r="G305" s="6"/>
    </row>
    <row r="306" spans="1:7" x14ac:dyDescent="0.25">
      <c r="A306" s="21">
        <v>3236</v>
      </c>
      <c r="B306" s="22"/>
      <c r="C306" s="23"/>
      <c r="D306" s="24" t="s">
        <v>83</v>
      </c>
      <c r="E306" s="32"/>
      <c r="F306" s="32"/>
      <c r="G306" s="6"/>
    </row>
    <row r="307" spans="1:7" x14ac:dyDescent="0.25">
      <c r="A307" s="21">
        <v>3237</v>
      </c>
      <c r="B307" s="22"/>
      <c r="C307" s="23"/>
      <c r="D307" s="24" t="s">
        <v>84</v>
      </c>
      <c r="E307" s="32"/>
      <c r="F307" s="32"/>
      <c r="G307" s="6"/>
    </row>
    <row r="308" spans="1:7" x14ac:dyDescent="0.25">
      <c r="A308" s="21">
        <v>3238</v>
      </c>
      <c r="B308" s="22"/>
      <c r="C308" s="23"/>
      <c r="D308" s="24" t="s">
        <v>85</v>
      </c>
      <c r="E308" s="32"/>
      <c r="F308" s="32"/>
      <c r="G308" s="6"/>
    </row>
    <row r="309" spans="1:7" x14ac:dyDescent="0.25">
      <c r="A309" s="21">
        <v>3239</v>
      </c>
      <c r="B309" s="22"/>
      <c r="C309" s="23"/>
      <c r="D309" s="24" t="s">
        <v>86</v>
      </c>
      <c r="E309" s="32"/>
      <c r="F309" s="32"/>
      <c r="G309" s="6"/>
    </row>
    <row r="310" spans="1:7" ht="25.5" x14ac:dyDescent="0.25">
      <c r="A310" s="16">
        <v>324</v>
      </c>
      <c r="B310" s="17"/>
      <c r="C310" s="18"/>
      <c r="D310" s="19" t="s">
        <v>87</v>
      </c>
      <c r="E310" s="31"/>
      <c r="F310" s="31"/>
      <c r="G310" s="6"/>
    </row>
    <row r="311" spans="1:7" ht="25.5" x14ac:dyDescent="0.25">
      <c r="A311" s="16">
        <v>329</v>
      </c>
      <c r="B311" s="17"/>
      <c r="C311" s="18"/>
      <c r="D311" s="19" t="s">
        <v>88</v>
      </c>
      <c r="E311" s="31">
        <f t="shared" ref="E311:F311" si="89">SUM(E312:E318)</f>
        <v>1900</v>
      </c>
      <c r="F311" s="31">
        <f t="shared" si="89"/>
        <v>824.43</v>
      </c>
      <c r="G311" s="85">
        <f>F311/E311*100</f>
        <v>43.391052631578944</v>
      </c>
    </row>
    <row r="312" spans="1:7" ht="38.25" x14ac:dyDescent="0.25">
      <c r="A312" s="21">
        <v>3291</v>
      </c>
      <c r="B312" s="22"/>
      <c r="C312" s="23"/>
      <c r="D312" s="24" t="s">
        <v>89</v>
      </c>
      <c r="E312" s="32"/>
      <c r="F312" s="32"/>
      <c r="G312" s="6"/>
    </row>
    <row r="313" spans="1:7" x14ac:dyDescent="0.25">
      <c r="A313" s="21">
        <v>3292</v>
      </c>
      <c r="B313" s="22"/>
      <c r="C313" s="23"/>
      <c r="D313" s="24" t="s">
        <v>90</v>
      </c>
      <c r="E313" s="32"/>
      <c r="F313" s="32"/>
      <c r="G313" s="6"/>
    </row>
    <row r="314" spans="1:7" x14ac:dyDescent="0.25">
      <c r="A314" s="21">
        <v>3293</v>
      </c>
      <c r="B314" s="22"/>
      <c r="C314" s="23"/>
      <c r="D314" s="24" t="s">
        <v>91</v>
      </c>
      <c r="E314" s="32"/>
      <c r="F314" s="32"/>
      <c r="G314" s="6"/>
    </row>
    <row r="315" spans="1:7" x14ac:dyDescent="0.25">
      <c r="A315" s="21">
        <v>3294</v>
      </c>
      <c r="B315" s="22"/>
      <c r="C315" s="23"/>
      <c r="D315" s="24" t="s">
        <v>92</v>
      </c>
      <c r="E315" s="32"/>
      <c r="F315" s="32"/>
      <c r="G315" s="6"/>
    </row>
    <row r="316" spans="1:7" x14ac:dyDescent="0.25">
      <c r="A316" s="21">
        <v>3295</v>
      </c>
      <c r="B316" s="22"/>
      <c r="C316" s="23"/>
      <c r="D316" s="24" t="s">
        <v>93</v>
      </c>
      <c r="E316" s="32">
        <v>1900</v>
      </c>
      <c r="F316" s="32">
        <v>824.43</v>
      </c>
      <c r="G316" s="85">
        <f>F316/E316*100</f>
        <v>43.391052631578944</v>
      </c>
    </row>
    <row r="317" spans="1:7" x14ac:dyDescent="0.25">
      <c r="A317" s="21">
        <v>3296</v>
      </c>
      <c r="B317" s="22"/>
      <c r="C317" s="23"/>
      <c r="D317" s="24" t="s">
        <v>94</v>
      </c>
      <c r="E317" s="32"/>
      <c r="F317" s="32"/>
      <c r="G317" s="6"/>
    </row>
    <row r="318" spans="1:7" ht="25.5" x14ac:dyDescent="0.25">
      <c r="A318" s="21">
        <v>3299</v>
      </c>
      <c r="B318" s="22"/>
      <c r="C318" s="23"/>
      <c r="D318" s="24" t="s">
        <v>53</v>
      </c>
      <c r="E318" s="32"/>
      <c r="F318" s="32"/>
      <c r="G318" s="6"/>
    </row>
    <row r="319" spans="1:7" x14ac:dyDescent="0.25">
      <c r="A319" s="96">
        <v>34</v>
      </c>
      <c r="B319" s="97"/>
      <c r="C319" s="98"/>
      <c r="D319" s="14" t="s">
        <v>54</v>
      </c>
      <c r="E319" s="30">
        <f t="shared" ref="E319:F319" si="90">SUM(E320)</f>
        <v>0</v>
      </c>
      <c r="F319" s="30">
        <f t="shared" si="90"/>
        <v>0</v>
      </c>
      <c r="G319" s="6"/>
    </row>
    <row r="320" spans="1:7" x14ac:dyDescent="0.25">
      <c r="A320" s="16">
        <v>343</v>
      </c>
      <c r="B320" s="17"/>
      <c r="C320" s="18"/>
      <c r="D320" s="19" t="s">
        <v>55</v>
      </c>
      <c r="E320" s="31">
        <f t="shared" ref="E320:F320" si="91">SUM(E321:E322)</f>
        <v>0</v>
      </c>
      <c r="F320" s="31">
        <f t="shared" si="91"/>
        <v>0</v>
      </c>
      <c r="G320" s="6"/>
    </row>
    <row r="321" spans="1:7" ht="25.5" x14ac:dyDescent="0.25">
      <c r="A321" s="21">
        <v>3431</v>
      </c>
      <c r="B321" s="22"/>
      <c r="C321" s="23"/>
      <c r="D321" s="24" t="s">
        <v>95</v>
      </c>
      <c r="E321" s="32"/>
      <c r="F321" s="32"/>
      <c r="G321" s="6"/>
    </row>
    <row r="322" spans="1:7" x14ac:dyDescent="0.25">
      <c r="A322" s="21">
        <v>3433</v>
      </c>
      <c r="B322" s="22"/>
      <c r="C322" s="23"/>
      <c r="D322" s="24" t="s">
        <v>96</v>
      </c>
      <c r="E322" s="32"/>
      <c r="F322" s="32"/>
      <c r="G322" s="6"/>
    </row>
    <row r="323" spans="1:7" ht="38.25" x14ac:dyDescent="0.25">
      <c r="A323" s="96">
        <v>37</v>
      </c>
      <c r="B323" s="97"/>
      <c r="C323" s="98"/>
      <c r="D323" s="14" t="s">
        <v>56</v>
      </c>
      <c r="E323" s="30">
        <f t="shared" ref="E323:F323" si="92">SUM(E324)</f>
        <v>3900</v>
      </c>
      <c r="F323" s="30">
        <f t="shared" si="92"/>
        <v>0</v>
      </c>
      <c r="G323" s="6"/>
    </row>
    <row r="324" spans="1:7" ht="25.5" x14ac:dyDescent="0.25">
      <c r="A324" s="16">
        <v>372</v>
      </c>
      <c r="B324" s="17"/>
      <c r="C324" s="18"/>
      <c r="D324" s="19" t="s">
        <v>57</v>
      </c>
      <c r="E324" s="31">
        <f>E325+E326</f>
        <v>3900</v>
      </c>
      <c r="F324" s="31">
        <f t="shared" ref="F324" si="93">F325+F326</f>
        <v>0</v>
      </c>
      <c r="G324" s="6"/>
    </row>
    <row r="325" spans="1:7" ht="25.5" x14ac:dyDescent="0.25">
      <c r="A325" s="21">
        <v>3721</v>
      </c>
      <c r="B325" s="22"/>
      <c r="C325" s="23"/>
      <c r="D325" s="24" t="s">
        <v>97</v>
      </c>
      <c r="E325" s="32"/>
      <c r="F325" s="32"/>
      <c r="G325" s="6"/>
    </row>
    <row r="326" spans="1:7" ht="25.5" x14ac:dyDescent="0.25">
      <c r="A326" s="21">
        <v>3722</v>
      </c>
      <c r="B326" s="22"/>
      <c r="C326" s="23"/>
      <c r="D326" s="24" t="s">
        <v>98</v>
      </c>
      <c r="E326" s="32">
        <v>3900</v>
      </c>
      <c r="F326" s="32">
        <v>0</v>
      </c>
      <c r="G326" s="6"/>
    </row>
    <row r="327" spans="1:7" ht="25.5" x14ac:dyDescent="0.25">
      <c r="A327" s="34">
        <v>4</v>
      </c>
      <c r="B327" s="35"/>
      <c r="C327" s="36"/>
      <c r="D327" s="94" t="s">
        <v>45</v>
      </c>
      <c r="E327" s="29">
        <f>E329+E336</f>
        <v>3900</v>
      </c>
      <c r="F327" s="29">
        <f t="shared" ref="F327" si="94">SUM(F328)</f>
        <v>2200</v>
      </c>
      <c r="G327" s="85">
        <f t="shared" ref="G327:G328" si="95">F327/E327*100</f>
        <v>56.410256410256409</v>
      </c>
    </row>
    <row r="328" spans="1:7" ht="25.5" x14ac:dyDescent="0.25">
      <c r="A328" s="96">
        <v>42</v>
      </c>
      <c r="B328" s="97"/>
      <c r="C328" s="98"/>
      <c r="D328" s="14" t="s">
        <v>45</v>
      </c>
      <c r="E328" s="30">
        <f>E329+E336</f>
        <v>3900</v>
      </c>
      <c r="F328" s="30">
        <f>F329+F336</f>
        <v>2200</v>
      </c>
      <c r="G328" s="85">
        <f t="shared" si="95"/>
        <v>56.410256410256409</v>
      </c>
    </row>
    <row r="329" spans="1:7" x14ac:dyDescent="0.25">
      <c r="A329" s="16">
        <v>422</v>
      </c>
      <c r="B329" s="17"/>
      <c r="C329" s="18"/>
      <c r="D329" s="19" t="s">
        <v>58</v>
      </c>
      <c r="E329" s="31">
        <f t="shared" ref="E329:F329" si="96">SUM(E330:E335)</f>
        <v>0</v>
      </c>
      <c r="F329" s="31">
        <f t="shared" si="96"/>
        <v>2200</v>
      </c>
      <c r="G329" s="85"/>
    </row>
    <row r="330" spans="1:7" x14ac:dyDescent="0.25">
      <c r="A330" s="21">
        <v>4221</v>
      </c>
      <c r="B330" s="22"/>
      <c r="C330" s="23"/>
      <c r="D330" s="24" t="s">
        <v>99</v>
      </c>
      <c r="E330" s="32"/>
      <c r="F330" s="32"/>
      <c r="G330" s="6"/>
    </row>
    <row r="331" spans="1:7" x14ac:dyDescent="0.25">
      <c r="A331" s="21">
        <v>4222</v>
      </c>
      <c r="B331" s="22"/>
      <c r="C331" s="23"/>
      <c r="D331" s="24" t="s">
        <v>100</v>
      </c>
      <c r="E331" s="32"/>
      <c r="F331" s="32"/>
      <c r="G331" s="6"/>
    </row>
    <row r="332" spans="1:7" x14ac:dyDescent="0.25">
      <c r="A332" s="21">
        <v>4223</v>
      </c>
      <c r="B332" s="22"/>
      <c r="C332" s="23"/>
      <c r="D332" s="24" t="s">
        <v>101</v>
      </c>
      <c r="E332" s="32"/>
      <c r="F332" s="32"/>
      <c r="G332" s="6"/>
    </row>
    <row r="333" spans="1:7" x14ac:dyDescent="0.25">
      <c r="A333" s="21">
        <v>4225</v>
      </c>
      <c r="B333" s="22"/>
      <c r="C333" s="23"/>
      <c r="D333" s="24" t="s">
        <v>102</v>
      </c>
      <c r="E333" s="32"/>
      <c r="F333" s="32"/>
      <c r="G333" s="6"/>
    </row>
    <row r="334" spans="1:7" x14ac:dyDescent="0.25">
      <c r="A334" s="21">
        <v>4226</v>
      </c>
      <c r="B334" s="22"/>
      <c r="C334" s="23"/>
      <c r="D334" s="24" t="s">
        <v>103</v>
      </c>
      <c r="E334" s="32"/>
      <c r="F334" s="32"/>
      <c r="G334" s="6"/>
    </row>
    <row r="335" spans="1:7" ht="25.5" x14ac:dyDescent="0.25">
      <c r="A335" s="21">
        <v>4227</v>
      </c>
      <c r="B335" s="22"/>
      <c r="C335" s="23"/>
      <c r="D335" s="24" t="s">
        <v>104</v>
      </c>
      <c r="E335" s="32"/>
      <c r="F335" s="32">
        <v>2200</v>
      </c>
      <c r="G335" s="6"/>
    </row>
    <row r="336" spans="1:7" ht="25.5" x14ac:dyDescent="0.25">
      <c r="A336" s="16">
        <v>424</v>
      </c>
      <c r="B336" s="17"/>
      <c r="C336" s="18"/>
      <c r="D336" s="19" t="s">
        <v>59</v>
      </c>
      <c r="E336" s="31">
        <f t="shared" ref="E336:F336" si="97">SUM(E337)</f>
        <v>3900</v>
      </c>
      <c r="F336" s="31">
        <f t="shared" si="97"/>
        <v>0</v>
      </c>
      <c r="G336" s="6"/>
    </row>
    <row r="337" spans="1:7" x14ac:dyDescent="0.25">
      <c r="A337" s="21">
        <v>4241</v>
      </c>
      <c r="B337" s="22"/>
      <c r="C337" s="23"/>
      <c r="D337" s="24" t="s">
        <v>105</v>
      </c>
      <c r="E337" s="32">
        <v>3900</v>
      </c>
      <c r="F337" s="32">
        <v>0</v>
      </c>
      <c r="G337" s="6"/>
    </row>
    <row r="338" spans="1:7" x14ac:dyDescent="0.25">
      <c r="A338" s="21"/>
      <c r="B338" s="22"/>
      <c r="C338" s="23"/>
      <c r="D338" s="24"/>
      <c r="E338" s="32"/>
      <c r="F338" s="32"/>
      <c r="G338" s="6"/>
    </row>
    <row r="339" spans="1:7" x14ac:dyDescent="0.25">
      <c r="A339" s="21"/>
      <c r="B339" s="22"/>
      <c r="C339" s="23"/>
      <c r="D339" s="28" t="s">
        <v>106</v>
      </c>
      <c r="E339" s="38">
        <f t="shared" ref="E339" si="98">SUM(E275+E327)</f>
        <v>502800</v>
      </c>
      <c r="F339" s="38">
        <f>SUM(F275+F327)</f>
        <v>272545.03000000003</v>
      </c>
      <c r="G339" s="85">
        <f>F339/E339*100</f>
        <v>54.205455449482898</v>
      </c>
    </row>
    <row r="340" spans="1:7" x14ac:dyDescent="0.25">
      <c r="A340" s="21"/>
      <c r="B340" s="22"/>
      <c r="C340" s="23"/>
      <c r="D340" s="24"/>
      <c r="E340" s="12"/>
      <c r="F340" s="12"/>
    </row>
  </sheetData>
  <mergeCells count="44">
    <mergeCell ref="A270:C270"/>
    <mergeCell ref="A1:H1"/>
    <mergeCell ref="A3:F3"/>
    <mergeCell ref="A5:C5"/>
    <mergeCell ref="A9:C9"/>
    <mergeCell ref="A10:C10"/>
    <mergeCell ref="A7:C7"/>
    <mergeCell ref="A8:C8"/>
    <mergeCell ref="A21:C21"/>
    <mergeCell ref="A11:C11"/>
    <mergeCell ref="A35:C35"/>
    <mergeCell ref="A31:C31"/>
    <mergeCell ref="A32:C32"/>
    <mergeCell ref="A33:C33"/>
    <mergeCell ref="A153:C153"/>
    <mergeCell ref="A227:C227"/>
    <mergeCell ref="A34:C34"/>
    <mergeCell ref="A29:C29"/>
    <mergeCell ref="A228:C228"/>
    <mergeCell ref="A81:C81"/>
    <mergeCell ref="A225:C225"/>
    <mergeCell ref="A97:C97"/>
    <mergeCell ref="A83:C83"/>
    <mergeCell ref="A84:C84"/>
    <mergeCell ref="A85:C85"/>
    <mergeCell ref="A86:C86"/>
    <mergeCell ref="A87:C87"/>
    <mergeCell ref="A286:C286"/>
    <mergeCell ref="A272:C272"/>
    <mergeCell ref="A273:C273"/>
    <mergeCell ref="A274:C274"/>
    <mergeCell ref="A275:C275"/>
    <mergeCell ref="A276:C276"/>
    <mergeCell ref="A242:C242"/>
    <mergeCell ref="A169:C169"/>
    <mergeCell ref="A155:C155"/>
    <mergeCell ref="A156:C156"/>
    <mergeCell ref="A157:C157"/>
    <mergeCell ref="A158:C158"/>
    <mergeCell ref="A159:C159"/>
    <mergeCell ref="A231:C231"/>
    <mergeCell ref="A232:C232"/>
    <mergeCell ref="A229:C229"/>
    <mergeCell ref="A230:C230"/>
  </mergeCells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SAŽETAK 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OŠ Vratišinec - tajnica</cp:lastModifiedBy>
  <cp:lastPrinted>2023-07-24T06:38:07Z</cp:lastPrinted>
  <dcterms:created xsi:type="dcterms:W3CDTF">2022-08-12T12:51:27Z</dcterms:created>
  <dcterms:modified xsi:type="dcterms:W3CDTF">2023-07-24T06:38:49Z</dcterms:modified>
</cp:coreProperties>
</file>