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V. Ž. - tajnica\Desktop\TAJA\financijski planovi i periodični\plan i obračuni 2023\Uputa za izradu proračuna Međimurake županije za razdoblje 2023.-2025. godine\"/>
    </mc:Choice>
  </mc:AlternateContent>
  <bookViews>
    <workbookView xWindow="0" yWindow="0" windowWidth="21600" windowHeight="9330" tabRatio="684"/>
  </bookViews>
  <sheets>
    <sheet name="SAŽETAK 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I252" i="7"/>
  <c r="J301" i="7"/>
  <c r="K301" i="7"/>
  <c r="I301" i="7"/>
  <c r="I263" i="7"/>
  <c r="I253" i="7"/>
  <c r="J305" i="7" l="1"/>
  <c r="K305" i="7"/>
  <c r="I305" i="7"/>
  <c r="I304" i="7"/>
  <c r="H304" i="7"/>
  <c r="K92" i="3"/>
  <c r="J92" i="3"/>
  <c r="I92" i="3"/>
  <c r="F271" i="7" l="1"/>
  <c r="F12" i="5" l="1"/>
  <c r="E12" i="5"/>
  <c r="F13" i="5"/>
  <c r="E13" i="5"/>
  <c r="C12" i="5"/>
  <c r="C13" i="5"/>
  <c r="B13" i="5"/>
  <c r="B12" i="5"/>
  <c r="K51" i="3" l="1"/>
  <c r="J51" i="3"/>
  <c r="G8" i="1"/>
  <c r="F8" i="1"/>
  <c r="I29" i="3"/>
  <c r="H11" i="3"/>
  <c r="I70" i="3"/>
  <c r="G11" i="1" l="1"/>
  <c r="G14" i="1" s="1"/>
  <c r="H11" i="1"/>
  <c r="I11" i="1"/>
  <c r="J11" i="1"/>
  <c r="F14" i="1"/>
  <c r="F11" i="1"/>
  <c r="E67" i="3"/>
  <c r="H51" i="3"/>
  <c r="F51" i="3"/>
  <c r="F55" i="3" s="1"/>
  <c r="G55" i="3"/>
  <c r="H55" i="3"/>
  <c r="I55" i="3"/>
  <c r="J55" i="3"/>
  <c r="K55" i="3"/>
  <c r="E55" i="3"/>
  <c r="H19" i="3"/>
  <c r="F19" i="3"/>
  <c r="F24" i="3"/>
  <c r="G24" i="3"/>
  <c r="H24" i="3"/>
  <c r="I24" i="3"/>
  <c r="J24" i="3"/>
  <c r="K24" i="3"/>
  <c r="E24" i="3"/>
  <c r="G26" i="3"/>
  <c r="H26" i="3"/>
  <c r="E26" i="3"/>
  <c r="F44" i="3"/>
  <c r="G44" i="3"/>
  <c r="H44" i="3"/>
  <c r="I44" i="3"/>
  <c r="J44" i="3"/>
  <c r="K44" i="3"/>
  <c r="E44" i="3"/>
  <c r="H39" i="3"/>
  <c r="F39" i="3"/>
  <c r="H29" i="3"/>
  <c r="F29" i="3"/>
  <c r="F34" i="3"/>
  <c r="G34" i="3"/>
  <c r="H34" i="3"/>
  <c r="I34" i="3"/>
  <c r="J34" i="3"/>
  <c r="K34" i="3"/>
  <c r="E34" i="3"/>
  <c r="H16" i="3"/>
  <c r="H13" i="3"/>
  <c r="F17" i="3"/>
  <c r="F16" i="3"/>
  <c r="F14" i="3"/>
  <c r="F13" i="3"/>
  <c r="K12" i="3"/>
  <c r="J12" i="3"/>
  <c r="I12" i="3"/>
  <c r="H12" i="3"/>
  <c r="G12" i="3"/>
  <c r="F12" i="3"/>
  <c r="E12" i="3"/>
  <c r="J154" i="3" l="1"/>
  <c r="I154" i="3"/>
  <c r="F154" i="3"/>
  <c r="E154" i="3"/>
  <c r="F143" i="3"/>
  <c r="I143" i="3"/>
  <c r="J143" i="3"/>
  <c r="K143" i="3"/>
  <c r="E143" i="3"/>
  <c r="F115" i="3"/>
  <c r="E115" i="3"/>
  <c r="F104" i="3"/>
  <c r="E104" i="3"/>
  <c r="E95" i="3"/>
  <c r="G92" i="3"/>
  <c r="H94" i="3"/>
  <c r="H93" i="3"/>
  <c r="H91" i="3"/>
  <c r="F95" i="3"/>
  <c r="F94" i="3"/>
  <c r="F93" i="3"/>
  <c r="F91" i="3"/>
  <c r="H92" i="3" l="1"/>
  <c r="H152" i="3" l="1"/>
  <c r="H117" i="3"/>
  <c r="F117" i="3"/>
  <c r="E117" i="3"/>
  <c r="K107" i="3"/>
  <c r="J107" i="3"/>
  <c r="H107" i="3"/>
  <c r="G107" i="3"/>
  <c r="F107" i="3"/>
  <c r="E107" i="3"/>
  <c r="I95" i="3"/>
  <c r="G95" i="3"/>
  <c r="H95" i="3" s="1"/>
  <c r="H86" i="3"/>
  <c r="F86" i="3"/>
  <c r="E86" i="3"/>
  <c r="E92" i="3"/>
  <c r="F92" i="3" s="1"/>
  <c r="E77" i="3"/>
  <c r="E70" i="3"/>
  <c r="K77" i="3" l="1"/>
  <c r="J77" i="3"/>
  <c r="K70" i="3"/>
  <c r="H74" i="3"/>
  <c r="F77" i="3"/>
  <c r="F70" i="3"/>
  <c r="G77" i="3"/>
  <c r="H77" i="3" s="1"/>
  <c r="G70" i="3"/>
  <c r="H70" i="3" s="1"/>
  <c r="E74" i="3"/>
  <c r="F74" i="3" s="1"/>
  <c r="F33" i="7"/>
  <c r="G33" i="7"/>
  <c r="H33" i="7"/>
  <c r="E33" i="7"/>
  <c r="H182" i="7"/>
  <c r="F182" i="7"/>
  <c r="J165" i="7"/>
  <c r="K165" i="7"/>
  <c r="J167" i="7"/>
  <c r="K167" i="7"/>
  <c r="J169" i="7"/>
  <c r="K169" i="7"/>
  <c r="K158" i="7"/>
  <c r="F314" i="7" l="1"/>
  <c r="F311" i="7"/>
  <c r="H307" i="7"/>
  <c r="F303" i="7"/>
  <c r="H293" i="7"/>
  <c r="F293" i="7"/>
  <c r="F283" i="7"/>
  <c r="F274" i="7"/>
  <c r="F269" i="7" s="1"/>
  <c r="H271" i="7"/>
  <c r="H266" i="7"/>
  <c r="F266" i="7"/>
  <c r="F262" i="7"/>
  <c r="F260" i="7" s="1"/>
  <c r="H262" i="7"/>
  <c r="H259" i="7"/>
  <c r="H255" i="7"/>
  <c r="F259" i="7"/>
  <c r="F258" i="7" s="1"/>
  <c r="F255" i="7"/>
  <c r="G301" i="7"/>
  <c r="E301" i="7"/>
  <c r="E260" i="7"/>
  <c r="K313" i="7"/>
  <c r="J313" i="7"/>
  <c r="I313" i="7"/>
  <c r="H313" i="7"/>
  <c r="G313" i="7"/>
  <c r="F313" i="7"/>
  <c r="E313" i="7"/>
  <c r="K306" i="7"/>
  <c r="K304" i="7" s="1"/>
  <c r="K300" i="7" s="1"/>
  <c r="J306" i="7"/>
  <c r="J304" i="7" s="1"/>
  <c r="J300" i="7" s="1"/>
  <c r="I306" i="7"/>
  <c r="I300" i="7" s="1"/>
  <c r="H306" i="7"/>
  <c r="H305" i="7" s="1"/>
  <c r="H301" i="7" s="1"/>
  <c r="H300" i="7" s="1"/>
  <c r="G306" i="7"/>
  <c r="G305" i="7" s="1"/>
  <c r="G304" i="7" s="1"/>
  <c r="G300" i="7" s="1"/>
  <c r="F306" i="7"/>
  <c r="F305" i="7" s="1"/>
  <c r="F304" i="7" s="1"/>
  <c r="E306" i="7"/>
  <c r="E305" i="7" s="1"/>
  <c r="K297" i="7"/>
  <c r="K296" i="7" s="1"/>
  <c r="J297" i="7"/>
  <c r="J296" i="7" s="1"/>
  <c r="I297" i="7"/>
  <c r="I296" i="7" s="1"/>
  <c r="H297" i="7"/>
  <c r="H296" i="7" s="1"/>
  <c r="G297" i="7"/>
  <c r="G296" i="7" s="1"/>
  <c r="F297" i="7"/>
  <c r="F296" i="7" s="1"/>
  <c r="E297" i="7"/>
  <c r="E296" i="7" s="1"/>
  <c r="K288" i="7"/>
  <c r="J288" i="7"/>
  <c r="I288" i="7"/>
  <c r="H288" i="7"/>
  <c r="G288" i="7"/>
  <c r="F288" i="7"/>
  <c r="E288" i="7"/>
  <c r="K277" i="7"/>
  <c r="J277" i="7"/>
  <c r="I277" i="7"/>
  <c r="H277" i="7"/>
  <c r="G277" i="7"/>
  <c r="F277" i="7"/>
  <c r="E277" i="7"/>
  <c r="H269" i="7"/>
  <c r="K269" i="7"/>
  <c r="J269" i="7"/>
  <c r="I269" i="7"/>
  <c r="G269" i="7"/>
  <c r="E269" i="7"/>
  <c r="K264" i="7"/>
  <c r="J264" i="7"/>
  <c r="I264" i="7"/>
  <c r="H264" i="7"/>
  <c r="G264" i="7"/>
  <c r="F264" i="7"/>
  <c r="E264" i="7"/>
  <c r="K260" i="7"/>
  <c r="J260" i="7"/>
  <c r="I260" i="7"/>
  <c r="H260" i="7"/>
  <c r="G260" i="7"/>
  <c r="K258" i="7"/>
  <c r="J258" i="7"/>
  <c r="I258" i="7"/>
  <c r="H258" i="7"/>
  <c r="G258" i="7"/>
  <c r="E258" i="7"/>
  <c r="K254" i="7"/>
  <c r="J254" i="7"/>
  <c r="I254" i="7"/>
  <c r="H254" i="7"/>
  <c r="G254" i="7"/>
  <c r="F254" i="7"/>
  <c r="E254" i="7"/>
  <c r="H225" i="7"/>
  <c r="F225" i="7"/>
  <c r="F223" i="7" s="1"/>
  <c r="K231" i="7"/>
  <c r="J231" i="7"/>
  <c r="I231" i="7"/>
  <c r="H231" i="7"/>
  <c r="G231" i="7"/>
  <c r="F231" i="7"/>
  <c r="E231" i="7"/>
  <c r="H223" i="7"/>
  <c r="K223" i="7"/>
  <c r="J223" i="7"/>
  <c r="I223" i="7"/>
  <c r="G223" i="7"/>
  <c r="E223" i="7"/>
  <c r="K218" i="7"/>
  <c r="K217" i="7" s="1"/>
  <c r="J218" i="7"/>
  <c r="J217" i="7" s="1"/>
  <c r="I218" i="7"/>
  <c r="I217" i="7" s="1"/>
  <c r="H218" i="7"/>
  <c r="G218" i="7"/>
  <c r="F218" i="7"/>
  <c r="E218" i="7"/>
  <c r="E217" i="7" s="1"/>
  <c r="K214" i="7"/>
  <c r="J214" i="7"/>
  <c r="I214" i="7"/>
  <c r="H214" i="7"/>
  <c r="G214" i="7"/>
  <c r="F214" i="7"/>
  <c r="K212" i="7"/>
  <c r="J212" i="7"/>
  <c r="I212" i="7"/>
  <c r="H212" i="7"/>
  <c r="G212" i="7"/>
  <c r="F212" i="7"/>
  <c r="E212" i="7"/>
  <c r="K208" i="7"/>
  <c r="J208" i="7"/>
  <c r="I208" i="7"/>
  <c r="H208" i="7"/>
  <c r="G208" i="7"/>
  <c r="F208" i="7"/>
  <c r="E208" i="7"/>
  <c r="H176" i="7"/>
  <c r="H168" i="7"/>
  <c r="H167" i="7"/>
  <c r="H166" i="7"/>
  <c r="H165" i="7"/>
  <c r="H164" i="7"/>
  <c r="H163" i="7"/>
  <c r="H162" i="7"/>
  <c r="H161" i="7"/>
  <c r="F177" i="7"/>
  <c r="F176" i="7"/>
  <c r="F171" i="7"/>
  <c r="F162" i="7"/>
  <c r="F163" i="7"/>
  <c r="F164" i="7"/>
  <c r="F165" i="7"/>
  <c r="F166" i="7"/>
  <c r="F167" i="7"/>
  <c r="F168" i="7"/>
  <c r="F169" i="7"/>
  <c r="F161" i="7"/>
  <c r="F149" i="7"/>
  <c r="F150" i="7"/>
  <c r="F151" i="7"/>
  <c r="H198" i="7"/>
  <c r="H197" i="7" s="1"/>
  <c r="F198" i="7"/>
  <c r="F197" i="7" s="1"/>
  <c r="K197" i="7"/>
  <c r="J197" i="7"/>
  <c r="I197" i="7"/>
  <c r="G197" i="7"/>
  <c r="E197" i="7"/>
  <c r="H196" i="7"/>
  <c r="H190" i="7" s="1"/>
  <c r="K190" i="7"/>
  <c r="J190" i="7"/>
  <c r="I190" i="7"/>
  <c r="G190" i="7"/>
  <c r="F190" i="7"/>
  <c r="E190" i="7"/>
  <c r="K184" i="7"/>
  <c r="J184" i="7"/>
  <c r="I184" i="7"/>
  <c r="H184" i="7"/>
  <c r="G184" i="7"/>
  <c r="F184" i="7"/>
  <c r="E184" i="7"/>
  <c r="K181" i="7"/>
  <c r="K180" i="7" s="1"/>
  <c r="J181" i="7"/>
  <c r="J180" i="7" s="1"/>
  <c r="I181" i="7"/>
  <c r="I180" i="7" s="1"/>
  <c r="H181" i="7"/>
  <c r="H180" i="7" s="1"/>
  <c r="G181" i="7"/>
  <c r="G180" i="7" s="1"/>
  <c r="F181" i="7"/>
  <c r="F180" i="7" s="1"/>
  <c r="E181" i="7"/>
  <c r="E180" i="7" s="1"/>
  <c r="H179" i="7"/>
  <c r="H172" i="7" s="1"/>
  <c r="F179" i="7"/>
  <c r="K172" i="7"/>
  <c r="J172" i="7"/>
  <c r="I172" i="7"/>
  <c r="G172" i="7"/>
  <c r="E172" i="7"/>
  <c r="H169" i="7"/>
  <c r="K160" i="7"/>
  <c r="J160" i="7"/>
  <c r="I160" i="7"/>
  <c r="G160" i="7"/>
  <c r="E160" i="7"/>
  <c r="H159" i="7"/>
  <c r="F159" i="7"/>
  <c r="H158" i="7"/>
  <c r="F158" i="7"/>
  <c r="H157" i="7"/>
  <c r="F157" i="7"/>
  <c r="H156" i="7"/>
  <c r="F156" i="7"/>
  <c r="H155" i="7"/>
  <c r="F155" i="7"/>
  <c r="H154" i="7"/>
  <c r="F154" i="7"/>
  <c r="H153" i="7"/>
  <c r="F153" i="7"/>
  <c r="K152" i="7"/>
  <c r="J152" i="7"/>
  <c r="I152" i="7"/>
  <c r="G152" i="7"/>
  <c r="E152" i="7"/>
  <c r="H151" i="7"/>
  <c r="H150" i="7"/>
  <c r="H149" i="7"/>
  <c r="H148" i="7"/>
  <c r="F148" i="7"/>
  <c r="K147" i="7"/>
  <c r="J147" i="7"/>
  <c r="I147" i="7"/>
  <c r="I146" i="7" s="1"/>
  <c r="G147" i="7"/>
  <c r="E147" i="7"/>
  <c r="K143" i="7"/>
  <c r="J143" i="7"/>
  <c r="I143" i="7"/>
  <c r="H143" i="7"/>
  <c r="G143" i="7"/>
  <c r="F143" i="7"/>
  <c r="E143" i="7"/>
  <c r="K141" i="7"/>
  <c r="J141" i="7"/>
  <c r="I141" i="7"/>
  <c r="H141" i="7"/>
  <c r="G141" i="7"/>
  <c r="F141" i="7"/>
  <c r="E141" i="7"/>
  <c r="F140" i="7"/>
  <c r="F138" i="7"/>
  <c r="K137" i="7"/>
  <c r="J137" i="7"/>
  <c r="I137" i="7"/>
  <c r="H137" i="7"/>
  <c r="G137" i="7"/>
  <c r="E137" i="7"/>
  <c r="H125" i="7"/>
  <c r="H127" i="7"/>
  <c r="F127" i="7"/>
  <c r="E119" i="7"/>
  <c r="K72" i="7"/>
  <c r="J72" i="7"/>
  <c r="I72" i="7"/>
  <c r="H72" i="7"/>
  <c r="G72" i="7"/>
  <c r="E72" i="7"/>
  <c r="F72" i="7"/>
  <c r="H108" i="7"/>
  <c r="F108" i="7"/>
  <c r="H98" i="7"/>
  <c r="F98" i="7"/>
  <c r="H88" i="7"/>
  <c r="H87" i="7"/>
  <c r="H86" i="7"/>
  <c r="H85" i="7"/>
  <c r="H84" i="7"/>
  <c r="H83" i="7"/>
  <c r="H82" i="7"/>
  <c r="H80" i="7"/>
  <c r="H79" i="7"/>
  <c r="H78" i="7"/>
  <c r="H77" i="7"/>
  <c r="F88" i="7"/>
  <c r="F87" i="7"/>
  <c r="F86" i="7"/>
  <c r="F85" i="7"/>
  <c r="F84" i="7"/>
  <c r="F83" i="7"/>
  <c r="F82" i="7"/>
  <c r="F77" i="7"/>
  <c r="F69" i="7"/>
  <c r="F67" i="7"/>
  <c r="F42" i="7"/>
  <c r="F41" i="7"/>
  <c r="H42" i="7"/>
  <c r="H41" i="7"/>
  <c r="F217" i="7" l="1"/>
  <c r="G217" i="7"/>
  <c r="H217" i="7"/>
  <c r="K253" i="7"/>
  <c r="F301" i="7"/>
  <c r="F300" i="7" s="1"/>
  <c r="E207" i="7"/>
  <c r="E206" i="7" s="1"/>
  <c r="E241" i="7" s="1"/>
  <c r="E253" i="7"/>
  <c r="E304" i="7"/>
  <c r="E300" i="7" s="1"/>
  <c r="G253" i="7"/>
  <c r="E263" i="7"/>
  <c r="K263" i="7"/>
  <c r="G136" i="7"/>
  <c r="K136" i="7"/>
  <c r="J136" i="7"/>
  <c r="J189" i="7"/>
  <c r="J188" i="7" s="1"/>
  <c r="I207" i="7"/>
  <c r="I206" i="7" s="1"/>
  <c r="I241" i="7" s="1"/>
  <c r="G263" i="7"/>
  <c r="G207" i="7"/>
  <c r="G206" i="7" s="1"/>
  <c r="G241" i="7" s="1"/>
  <c r="K207" i="7"/>
  <c r="K206" i="7" s="1"/>
  <c r="K241" i="7" s="1"/>
  <c r="H207" i="7"/>
  <c r="H206" i="7" s="1"/>
  <c r="H241" i="7" s="1"/>
  <c r="F253" i="7"/>
  <c r="J253" i="7"/>
  <c r="H253" i="7"/>
  <c r="F263" i="7"/>
  <c r="J263" i="7"/>
  <c r="I136" i="7"/>
  <c r="F147" i="7"/>
  <c r="F172" i="7"/>
  <c r="K189" i="7"/>
  <c r="K188" i="7" s="1"/>
  <c r="H263" i="7"/>
  <c r="E136" i="7"/>
  <c r="J146" i="7"/>
  <c r="I189" i="7"/>
  <c r="I188" i="7" s="1"/>
  <c r="H136" i="7"/>
  <c r="F137" i="7"/>
  <c r="F136" i="7" s="1"/>
  <c r="K146" i="7"/>
  <c r="F189" i="7"/>
  <c r="F188" i="7" s="1"/>
  <c r="F160" i="7"/>
  <c r="F207" i="7"/>
  <c r="F206" i="7" s="1"/>
  <c r="F241" i="7" s="1"/>
  <c r="J207" i="7"/>
  <c r="J206" i="7" s="1"/>
  <c r="J241" i="7" s="1"/>
  <c r="H160" i="7"/>
  <c r="F152" i="7"/>
  <c r="E146" i="7"/>
  <c r="H147" i="7"/>
  <c r="G189" i="7"/>
  <c r="G188" i="7" s="1"/>
  <c r="H189" i="7"/>
  <c r="H188" i="7" s="1"/>
  <c r="E189" i="7"/>
  <c r="E188" i="7" s="1"/>
  <c r="H152" i="7"/>
  <c r="G146" i="7"/>
  <c r="G135" i="7" s="1"/>
  <c r="G200" i="7" s="1"/>
  <c r="G153" i="3"/>
  <c r="G146" i="3"/>
  <c r="G135" i="3"/>
  <c r="G134" i="3" s="1"/>
  <c r="G125" i="3"/>
  <c r="G124" i="3" s="1"/>
  <c r="G110" i="3"/>
  <c r="G108" i="3"/>
  <c r="G98" i="3"/>
  <c r="G90" i="3"/>
  <c r="G85" i="3"/>
  <c r="G75" i="3"/>
  <c r="G73" i="3"/>
  <c r="G69" i="3"/>
  <c r="G68" i="3" s="1"/>
  <c r="G50" i="3"/>
  <c r="G49" i="3" s="1"/>
  <c r="G40" i="3"/>
  <c r="G37" i="3"/>
  <c r="G28" i="3"/>
  <c r="G27" i="3" s="1"/>
  <c r="G18" i="3"/>
  <c r="G15" i="3"/>
  <c r="E153" i="3"/>
  <c r="E146" i="3"/>
  <c r="E135" i="3"/>
  <c r="E134" i="3" s="1"/>
  <c r="E125" i="3"/>
  <c r="E124" i="3" s="1"/>
  <c r="E110" i="3"/>
  <c r="E108" i="3"/>
  <c r="E98" i="3"/>
  <c r="E90" i="3"/>
  <c r="E85" i="3"/>
  <c r="E75" i="3"/>
  <c r="E73" i="3"/>
  <c r="E69" i="3"/>
  <c r="E50" i="3"/>
  <c r="E49" i="3" s="1"/>
  <c r="E40" i="3"/>
  <c r="E37" i="3"/>
  <c r="E28" i="3"/>
  <c r="E27" i="3"/>
  <c r="E18" i="3"/>
  <c r="E15" i="3"/>
  <c r="G126" i="7"/>
  <c r="G119" i="7"/>
  <c r="G110" i="7"/>
  <c r="G109" i="7" s="1"/>
  <c r="G101" i="7"/>
  <c r="G89" i="7"/>
  <c r="G81" i="7"/>
  <c r="G76" i="7"/>
  <c r="G70" i="7"/>
  <c r="G66" i="7"/>
  <c r="G47" i="7"/>
  <c r="G39" i="7"/>
  <c r="G34" i="7"/>
  <c r="G21" i="7"/>
  <c r="G20" i="7" s="1"/>
  <c r="G17" i="7"/>
  <c r="G15" i="7"/>
  <c r="G11" i="7"/>
  <c r="E126" i="7"/>
  <c r="E118" i="7" s="1"/>
  <c r="E117" i="7" s="1"/>
  <c r="E113" i="7" s="1"/>
  <c r="E110" i="7"/>
  <c r="E109" i="7" s="1"/>
  <c r="E101" i="7"/>
  <c r="E89" i="7"/>
  <c r="E81" i="7"/>
  <c r="E76" i="7"/>
  <c r="E70" i="7"/>
  <c r="E66" i="7"/>
  <c r="E47" i="7"/>
  <c r="E39" i="7"/>
  <c r="E34" i="7"/>
  <c r="E21" i="7"/>
  <c r="E20" i="7" s="1"/>
  <c r="E17" i="7"/>
  <c r="E15" i="7"/>
  <c r="E11" i="7"/>
  <c r="F12" i="7"/>
  <c r="K19" i="7"/>
  <c r="J19" i="7"/>
  <c r="I19" i="7"/>
  <c r="H19" i="7"/>
  <c r="F19" i="7"/>
  <c r="H12" i="7"/>
  <c r="K12" i="7"/>
  <c r="J12" i="7"/>
  <c r="I12" i="7"/>
  <c r="K252" i="7" l="1"/>
  <c r="K316" i="7" s="1"/>
  <c r="E11" i="3"/>
  <c r="G11" i="3"/>
  <c r="E10" i="3"/>
  <c r="G145" i="3"/>
  <c r="G144" i="3" s="1"/>
  <c r="E145" i="3"/>
  <c r="E144" i="3" s="1"/>
  <c r="G10" i="3"/>
  <c r="G36" i="3"/>
  <c r="E36" i="3"/>
  <c r="E84" i="3"/>
  <c r="G84" i="3"/>
  <c r="G67" i="3" s="1"/>
  <c r="E68" i="3"/>
  <c r="K135" i="7"/>
  <c r="K200" i="7" s="1"/>
  <c r="I135" i="7"/>
  <c r="I200" i="7" s="1"/>
  <c r="H252" i="7"/>
  <c r="H316" i="7" s="1"/>
  <c r="G252" i="7"/>
  <c r="G316" i="7" s="1"/>
  <c r="E252" i="7"/>
  <c r="E316" i="7" s="1"/>
  <c r="J135" i="7"/>
  <c r="J200" i="7" s="1"/>
  <c r="I316" i="7"/>
  <c r="E135" i="7"/>
  <c r="E200" i="7" s="1"/>
  <c r="F146" i="7"/>
  <c r="F135" i="7" s="1"/>
  <c r="F200" i="7" s="1"/>
  <c r="J252" i="7"/>
  <c r="J316" i="7" s="1"/>
  <c r="F252" i="7"/>
  <c r="F316" i="7" s="1"/>
  <c r="H146" i="7"/>
  <c r="H135" i="7" s="1"/>
  <c r="H200" i="7" s="1"/>
  <c r="G118" i="7"/>
  <c r="G117" i="7" s="1"/>
  <c r="G113" i="7" s="1"/>
  <c r="G75" i="7"/>
  <c r="G65" i="7" s="1"/>
  <c r="E75" i="7"/>
  <c r="E65" i="7" s="1"/>
  <c r="E64" i="7" s="1"/>
  <c r="E129" i="7" s="1"/>
  <c r="G10" i="7"/>
  <c r="G9" i="7" s="1"/>
  <c r="G26" i="7" s="1"/>
  <c r="E10" i="7"/>
  <c r="E9" i="7" s="1"/>
  <c r="E26" i="7" s="1"/>
  <c r="K21" i="7"/>
  <c r="K20" i="7" s="1"/>
  <c r="K17" i="7"/>
  <c r="K15" i="7"/>
  <c r="K11" i="7"/>
  <c r="J21" i="7"/>
  <c r="J20" i="7" s="1"/>
  <c r="J17" i="7"/>
  <c r="J15" i="7"/>
  <c r="J11" i="7"/>
  <c r="I21" i="7"/>
  <c r="I20" i="7" s="1"/>
  <c r="I17" i="7"/>
  <c r="I15" i="7"/>
  <c r="I11" i="7"/>
  <c r="H21" i="7"/>
  <c r="H20" i="7" s="1"/>
  <c r="H17" i="7"/>
  <c r="H15" i="7"/>
  <c r="H11" i="7"/>
  <c r="F17" i="7"/>
  <c r="K50" i="3"/>
  <c r="K49" i="3" s="1"/>
  <c r="J50" i="3"/>
  <c r="J49" i="3" s="1"/>
  <c r="I50" i="3"/>
  <c r="I49" i="3" s="1"/>
  <c r="H50" i="3"/>
  <c r="H49" i="3" s="1"/>
  <c r="F50" i="3"/>
  <c r="F49" i="3" s="1"/>
  <c r="K18" i="3"/>
  <c r="K15" i="3"/>
  <c r="K26" i="3" s="1"/>
  <c r="J18" i="3"/>
  <c r="J15" i="3"/>
  <c r="J26" i="3" s="1"/>
  <c r="I18" i="3"/>
  <c r="I15" i="3"/>
  <c r="I26" i="3" s="1"/>
  <c r="H18" i="3"/>
  <c r="H15" i="3"/>
  <c r="K28" i="3"/>
  <c r="K27" i="3" s="1"/>
  <c r="J28" i="3"/>
  <c r="J27" i="3" s="1"/>
  <c r="I28" i="3"/>
  <c r="I27" i="3" s="1"/>
  <c r="H28" i="3"/>
  <c r="H27" i="3" s="1"/>
  <c r="K40" i="3"/>
  <c r="K37" i="3"/>
  <c r="J40" i="3"/>
  <c r="J37" i="3"/>
  <c r="I40" i="3"/>
  <c r="I37" i="3"/>
  <c r="H40" i="3"/>
  <c r="H37" i="3"/>
  <c r="F40" i="3"/>
  <c r="F37" i="3"/>
  <c r="F18" i="3"/>
  <c r="F28" i="3"/>
  <c r="F27" i="3" s="1"/>
  <c r="F15" i="3"/>
  <c r="F26" i="3" s="1"/>
  <c r="K11" i="3" l="1"/>
  <c r="J11" i="3"/>
  <c r="I11" i="3"/>
  <c r="F11" i="3"/>
  <c r="G59" i="3"/>
  <c r="G161" i="3"/>
  <c r="E59" i="3"/>
  <c r="J36" i="3"/>
  <c r="E161" i="3"/>
  <c r="G32" i="7"/>
  <c r="G58" i="7" s="1"/>
  <c r="E32" i="7"/>
  <c r="E58" i="7" s="1"/>
  <c r="G64" i="7"/>
  <c r="G129" i="7" s="1"/>
  <c r="J10" i="7"/>
  <c r="K10" i="7"/>
  <c r="K9" i="7" s="1"/>
  <c r="K26" i="7" s="1"/>
  <c r="J9" i="7"/>
  <c r="J26" i="7" s="1"/>
  <c r="I10" i="7"/>
  <c r="I9" i="7" s="1"/>
  <c r="I26" i="7" s="1"/>
  <c r="H10" i="7"/>
  <c r="H9" i="7" s="1"/>
  <c r="H26" i="7" s="1"/>
  <c r="H36" i="3"/>
  <c r="K36" i="3"/>
  <c r="F36" i="3"/>
  <c r="I36" i="3"/>
  <c r="K75" i="3"/>
  <c r="J75" i="3"/>
  <c r="I75" i="3"/>
  <c r="H75" i="3"/>
  <c r="F75" i="3"/>
  <c r="K73" i="3"/>
  <c r="J73" i="3"/>
  <c r="I73" i="3"/>
  <c r="H73" i="3"/>
  <c r="F73" i="3"/>
  <c r="K69" i="3"/>
  <c r="J69" i="3"/>
  <c r="I69" i="3"/>
  <c r="H69" i="3"/>
  <c r="F69" i="3"/>
  <c r="K153" i="3"/>
  <c r="J153" i="3"/>
  <c r="I153" i="3"/>
  <c r="H153" i="3"/>
  <c r="F153" i="3"/>
  <c r="K135" i="3"/>
  <c r="K134" i="3" s="1"/>
  <c r="J135" i="3"/>
  <c r="J134" i="3" s="1"/>
  <c r="I135" i="3"/>
  <c r="I134" i="3" s="1"/>
  <c r="H135" i="3"/>
  <c r="H134" i="3" s="1"/>
  <c r="F135" i="3"/>
  <c r="F134" i="3" s="1"/>
  <c r="K110" i="3"/>
  <c r="J110" i="3"/>
  <c r="I110" i="3"/>
  <c r="H110" i="3"/>
  <c r="K108" i="3"/>
  <c r="J108" i="3"/>
  <c r="I108" i="3"/>
  <c r="H108" i="3"/>
  <c r="K125" i="3"/>
  <c r="K124" i="3" s="1"/>
  <c r="J125" i="3"/>
  <c r="J124" i="3" s="1"/>
  <c r="I125" i="3"/>
  <c r="I124" i="3" s="1"/>
  <c r="H125" i="3"/>
  <c r="H124" i="3" s="1"/>
  <c r="F125" i="3"/>
  <c r="F124" i="3" s="1"/>
  <c r="F110" i="3"/>
  <c r="F108" i="3"/>
  <c r="K10" i="3" l="1"/>
  <c r="H10" i="3"/>
  <c r="H59" i="3"/>
  <c r="J10" i="3"/>
  <c r="J59" i="3"/>
  <c r="I9" i="1" s="1"/>
  <c r="I8" i="1" s="1"/>
  <c r="I14" i="1" s="1"/>
  <c r="F10" i="3"/>
  <c r="F59" i="3"/>
  <c r="I59" i="3"/>
  <c r="H9" i="1" s="1"/>
  <c r="H8" i="1" s="1"/>
  <c r="H14" i="1" s="1"/>
  <c r="K59" i="3"/>
  <c r="J9" i="1" s="1"/>
  <c r="J8" i="1" s="1"/>
  <c r="J14" i="1" s="1"/>
  <c r="I10" i="3"/>
  <c r="J68" i="3"/>
  <c r="H68" i="3"/>
  <c r="I68" i="3"/>
  <c r="K68" i="3"/>
  <c r="F68" i="3"/>
  <c r="F98" i="3"/>
  <c r="H98" i="3"/>
  <c r="I98" i="3"/>
  <c r="J98" i="3"/>
  <c r="K98" i="3"/>
  <c r="F90" i="3"/>
  <c r="H90" i="3"/>
  <c r="I90" i="3"/>
  <c r="J90" i="3"/>
  <c r="K90" i="3"/>
  <c r="K146" i="3"/>
  <c r="K145" i="3" s="1"/>
  <c r="K144" i="3" s="1"/>
  <c r="J146" i="3"/>
  <c r="J145" i="3" s="1"/>
  <c r="J144" i="3" s="1"/>
  <c r="I146" i="3"/>
  <c r="I145" i="3" s="1"/>
  <c r="I144" i="3" s="1"/>
  <c r="H146" i="3"/>
  <c r="H145" i="3" s="1"/>
  <c r="H144" i="3" s="1"/>
  <c r="F146" i="3"/>
  <c r="F145" i="3" s="1"/>
  <c r="F144" i="3" s="1"/>
  <c r="K85" i="3"/>
  <c r="J85" i="3"/>
  <c r="I85" i="3"/>
  <c r="H85" i="3"/>
  <c r="F85" i="3"/>
  <c r="F11" i="5"/>
  <c r="F10" i="5" s="1"/>
  <c r="E11" i="5"/>
  <c r="E10" i="5" s="1"/>
  <c r="D11" i="5"/>
  <c r="D10" i="5" s="1"/>
  <c r="C11" i="5"/>
  <c r="C10" i="5" s="1"/>
  <c r="B11" i="5"/>
  <c r="B10" i="5" s="1"/>
  <c r="K84" i="3" l="1"/>
  <c r="K67" i="3" s="1"/>
  <c r="K161" i="3" s="1"/>
  <c r="F84" i="3"/>
  <c r="F67" i="3" s="1"/>
  <c r="F161" i="3" s="1"/>
  <c r="I84" i="3"/>
  <c r="J84" i="3"/>
  <c r="J67" i="3" s="1"/>
  <c r="J161" i="3" s="1"/>
  <c r="H84" i="3"/>
  <c r="H67" i="3" s="1"/>
  <c r="H161" i="3" s="1"/>
  <c r="K126" i="7"/>
  <c r="J126" i="7"/>
  <c r="I126" i="7"/>
  <c r="H126" i="7"/>
  <c r="F126" i="7"/>
  <c r="K119" i="7"/>
  <c r="J119" i="7"/>
  <c r="I119" i="7"/>
  <c r="H119" i="7"/>
  <c r="F119" i="7"/>
  <c r="K110" i="7"/>
  <c r="K109" i="7" s="1"/>
  <c r="J110" i="7"/>
  <c r="J109" i="7" s="1"/>
  <c r="I110" i="7"/>
  <c r="I109" i="7" s="1"/>
  <c r="H110" i="7"/>
  <c r="H109" i="7" s="1"/>
  <c r="F110" i="7"/>
  <c r="F109" i="7" s="1"/>
  <c r="K101" i="7"/>
  <c r="J101" i="7"/>
  <c r="I101" i="7"/>
  <c r="H101" i="7"/>
  <c r="F101" i="7"/>
  <c r="K89" i="7"/>
  <c r="J89" i="7"/>
  <c r="I89" i="7"/>
  <c r="H89" i="7"/>
  <c r="F89" i="7"/>
  <c r="K81" i="7"/>
  <c r="J81" i="7"/>
  <c r="I81" i="7"/>
  <c r="H81" i="7"/>
  <c r="F81" i="7"/>
  <c r="K76" i="7"/>
  <c r="J76" i="7"/>
  <c r="I76" i="7"/>
  <c r="H76" i="7"/>
  <c r="F76" i="7"/>
  <c r="K70" i="7"/>
  <c r="J70" i="7"/>
  <c r="I70" i="7"/>
  <c r="H70" i="7"/>
  <c r="F70" i="7"/>
  <c r="K66" i="7"/>
  <c r="J66" i="7"/>
  <c r="I66" i="7"/>
  <c r="H66" i="7"/>
  <c r="F66" i="7"/>
  <c r="K47" i="7"/>
  <c r="K33" i="7" s="1"/>
  <c r="J47" i="7"/>
  <c r="J33" i="7" s="1"/>
  <c r="I47" i="7"/>
  <c r="I33" i="7" s="1"/>
  <c r="H47" i="7"/>
  <c r="F47" i="7"/>
  <c r="K39" i="7"/>
  <c r="J39" i="7"/>
  <c r="I39" i="7"/>
  <c r="H39" i="7"/>
  <c r="F39" i="7"/>
  <c r="K34" i="7"/>
  <c r="J34" i="7"/>
  <c r="I34" i="7"/>
  <c r="H34" i="7"/>
  <c r="F34" i="7"/>
  <c r="F21" i="7"/>
  <c r="F20" i="7" s="1"/>
  <c r="F15" i="7"/>
  <c r="F11" i="7"/>
  <c r="I67" i="3" l="1"/>
  <c r="I161" i="3" s="1"/>
  <c r="F118" i="7"/>
  <c r="F117" i="7" s="1"/>
  <c r="I113" i="7"/>
  <c r="I118" i="7"/>
  <c r="I117" i="7" s="1"/>
  <c r="K113" i="7"/>
  <c r="K118" i="7"/>
  <c r="K117" i="7" s="1"/>
  <c r="J113" i="7"/>
  <c r="J118" i="7"/>
  <c r="J117" i="7" s="1"/>
  <c r="H118" i="7"/>
  <c r="H117" i="7" s="1"/>
  <c r="H113" i="7"/>
  <c r="F113" i="7"/>
  <c r="I75" i="7"/>
  <c r="I65" i="7" s="1"/>
  <c r="I64" i="7" s="1"/>
  <c r="F75" i="7"/>
  <c r="F65" i="7" s="1"/>
  <c r="J75" i="7"/>
  <c r="J65" i="7" s="1"/>
  <c r="J64" i="7" s="1"/>
  <c r="H75" i="7"/>
  <c r="H65" i="7" s="1"/>
  <c r="H64" i="7" s="1"/>
  <c r="K75" i="7"/>
  <c r="K65" i="7" s="1"/>
  <c r="F10" i="7"/>
  <c r="F9" i="7" s="1"/>
  <c r="F26" i="7" s="1"/>
  <c r="J32" i="7" l="1"/>
  <c r="J58" i="7" s="1"/>
  <c r="I32" i="7"/>
  <c r="I58" i="7" s="1"/>
  <c r="K32" i="7"/>
  <c r="K58" i="7" s="1"/>
  <c r="H32" i="7"/>
  <c r="H58" i="7" s="1"/>
  <c r="F32" i="7"/>
  <c r="F58" i="7" s="1"/>
  <c r="J129" i="7"/>
  <c r="K64" i="7"/>
  <c r="K129" i="7" s="1"/>
  <c r="I129" i="7"/>
  <c r="H129" i="7"/>
  <c r="F64" i="7"/>
  <c r="F129" i="7" s="1"/>
</calcChain>
</file>

<file path=xl/sharedStrings.xml><?xml version="1.0" encoding="utf-8"?>
<sst xmlns="http://schemas.openxmlformats.org/spreadsheetml/2006/main" count="603" uniqueCount="173">
  <si>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</si>
  <si>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</si>
  <si>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</si>
  <si>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</si>
  <si>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</si>
  <si>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</si>
  <si>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</si>
  <si>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</si>
  <si>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</si>
  <si>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</si>
  <si>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</si>
  <si>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</si>
  <si>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</si>
  <si>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</si>
  <si>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</si>
  <si>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</si>
  <si>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</si>
  <si>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</si>
  <si>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</si>
  <si>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</si>
  <si>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</si>
  <si>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</si>
  <si>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</si>
  <si>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</si>
  <si>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</si>
  <si>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</si>
  <si>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</si>
  <si>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</si>
  <si>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</si>
  <si>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</si>
  <si>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</si>
  <si>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</si>
  <si>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</si>
  <si>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</si>
  <si>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</si>
  <si>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</si>
  <si>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</si>
  <si>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</si>
  <si>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</si>
  <si>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</si>
  <si>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PROGRAMA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</si>
  <si>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</si>
  <si>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</si>
  <si>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</si>
  <si>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</si>
  <si>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</si>
  <si>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</si>
  <si>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</si>
  <si>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</si>
  <si>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</si>
  <si>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</si>
  <si>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</si>
  <si>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</si>
  <si>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</si>
  <si>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</si>
  <si>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</si>
  <si>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</si>
  <si>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</si>
  <si>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</si>
  <si>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</si>
  <si>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Plaće (bruto)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</si>
  <si>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</si>
  <si>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</si>
  <si>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</si>
  <si>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</si>
  <si>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</si>
  <si>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</si>
  <si>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</si>
  <si>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</si>
  <si>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</si>
  <si>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Postrojenja i oprema</t>
  </si>
  <si>
    <t>Knjige, umjetnička djela i ostale izložbene vrijednosti</t>
  </si>
  <si>
    <t>Plaće za redovan rad</t>
  </si>
  <si>
    <t>Plaće za prekovremeni rad</t>
  </si>
  <si>
    <t>Plaće za posebne uvjete rada</t>
  </si>
  <si>
    <t>Ostali rashodi za zapslene</t>
  </si>
  <si>
    <t>Ostali rashodi za zaposlene</t>
  </si>
  <si>
    <t>Doprinos za mirovinsko osiguranje</t>
  </si>
  <si>
    <t>Dobrinos za obvezno zdravstveno osiguranje</t>
  </si>
  <si>
    <t>Službena putovanja</t>
  </si>
  <si>
    <t>Naknade za prijevoz, ra rad na terenu i odvojeni život</t>
  </si>
  <si>
    <t>Stručno usavršavanje zaposlenika</t>
  </si>
  <si>
    <t>Ostale naknade troškova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</si>
  <si>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</si>
  <si>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</si>
  <si>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</si>
  <si>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</si>
  <si>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</si>
  <si>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 upotrebu</t>
  </si>
  <si>
    <t>Službena , radna i zaštitna odjeća i obuća</t>
  </si>
  <si>
    <t>Usluge telofona, pošte i prijevoza</t>
  </si>
  <si>
    <t>Usluge tekućeg i investicijskog održavanja</t>
  </si>
  <si>
    <t>Usluge promidžbe i informiranja</t>
  </si>
  <si>
    <t>Komunalne usluge</t>
  </si>
  <si>
    <t>Zakupnine i najamnine</t>
  </si>
  <si>
    <t>Zadravstvene i veterinarske usluge</t>
  </si>
  <si>
    <t>Intelektualne i osobne usluge</t>
  </si>
  <si>
    <t>Računalne usluge</t>
  </si>
  <si>
    <t>Ostale usluge</t>
  </si>
  <si>
    <t>Naknada troškova osobama izvan radnog odnosa</t>
  </si>
  <si>
    <t>Ostali nespomenuti rashodi psolovanja</t>
  </si>
  <si>
    <t>Naknade za rad predstavničkih i izvršnih tijela, povjerenstava i slično</t>
  </si>
  <si>
    <t>Premije osiguranja</t>
  </si>
  <si>
    <t>Reprezenatacije</t>
  </si>
  <si>
    <t>Članarine i norme</t>
  </si>
  <si>
    <t>Pristojbe i naknade</t>
  </si>
  <si>
    <t>Troškovi sudskih postupaka</t>
  </si>
  <si>
    <t>Bankarske usluge i usluge platnog prometa</t>
  </si>
  <si>
    <t>Zatezne kamate</t>
  </si>
  <si>
    <t>Naknade građanima i kućanstvima u novcu</t>
  </si>
  <si>
    <t>Naknade građanima i kućanstvima u naravi</t>
  </si>
  <si>
    <t>Uredska oprema i namještaj</t>
  </si>
  <si>
    <t>Komunikacijska oprema</t>
  </si>
  <si>
    <t>Oprema za održavanje i zaštitu</t>
  </si>
  <si>
    <t>Instrumenti uređaji i strojevi</t>
  </si>
  <si>
    <t>Sportska i glazbena oprema</t>
  </si>
  <si>
    <t>Uređaji, strojevi i oprema za ostale namjene</t>
  </si>
  <si>
    <t>Knjige</t>
  </si>
  <si>
    <t>UKUPNO:</t>
  </si>
  <si>
    <t>Plan 2023.</t>
  </si>
  <si>
    <t>Projekcija
za 2024.</t>
  </si>
  <si>
    <t>ŠKOLSTVO1013</t>
  </si>
  <si>
    <t>09 Obrazovanje</t>
  </si>
  <si>
    <t>0912 Osnovno obrazovanje</t>
  </si>
  <si>
    <t>096 Dodatne usluge u obrazovanju</t>
  </si>
  <si>
    <t>098 Usluge obrazovanja koje nisu drugdje
svrstane</t>
  </si>
  <si>
    <t>Pomoći EU</t>
  </si>
  <si>
    <t>Nakn.trošk.osobama izvan rad.odn.</t>
  </si>
  <si>
    <t>Nakn.trošk.osobama izvan radnog odnosa</t>
  </si>
  <si>
    <t>UKUPNO RASHODI</t>
  </si>
  <si>
    <t>Pomoći proračnskim korisnicma iz proračuna koji im nije nadležan</t>
  </si>
  <si>
    <t>Tekuće pomoći proraračnskim korisnicima iz proraučuna koji im nije nadležan</t>
  </si>
  <si>
    <t>Kapitalne pomoći proračunskim korisnicma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</si>
  <si>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</si>
  <si>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</si>
  <si>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</si>
  <si>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Prihodi po posebnim propisima</t>
  </si>
  <si>
    <t>Prihodi od upravnih i administrativnih 
pristojbi, pristojbi po posebnim propisima i naknada</t>
  </si>
  <si>
    <t>Prihodi od prodaje proizvoda i robe te pruženih usluga i prihoda od donacija</t>
  </si>
  <si>
    <t>Prihodi odr prodaje proizvoda i roba te pruženh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</si>
  <si>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</si>
  <si>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</si>
  <si>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</si>
  <si>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</si>
  <si>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</si>
  <si>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</si>
  <si>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</si>
  <si>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</si>
  <si>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neifnancijske imovine</t>
  </si>
  <si>
    <t>UKUPNO PRIHODI</t>
  </si>
  <si>
    <t>Naknade za prijevoz, za rad na terenu i odvojeni život</t>
  </si>
  <si>
    <t>Izvršenje 2021. u EUR</t>
  </si>
  <si>
    <t>Plan 2022. U EUR</t>
  </si>
  <si>
    <t>Izvršenje 2021. u KUNAMA</t>
  </si>
  <si>
    <t>Aktivnost A101330</t>
  </si>
  <si>
    <t>Plan 2022. u KUNAMA</t>
  </si>
  <si>
    <t>Izvršenje 2021. kn</t>
  </si>
  <si>
    <t>Izvršenje 2021. euri</t>
  </si>
  <si>
    <t>Plan 2022. kn</t>
  </si>
  <si>
    <t>Plan 2022. euri</t>
  </si>
  <si>
    <t>Aktivnost A101314</t>
  </si>
  <si>
    <t>Vlastiti i ostali prihodi</t>
  </si>
  <si>
    <t>Aktivnost A101301</t>
  </si>
  <si>
    <t>Decentralizirana sredstva</t>
  </si>
  <si>
    <t>Aktivnost T100103</t>
  </si>
  <si>
    <t>Projekt ''Školski obroci svima''</t>
  </si>
  <si>
    <t>Osnovno školstvo</t>
  </si>
  <si>
    <t>Ostali izdaci za osnovne škole</t>
  </si>
  <si>
    <t xml:space="preserve">Vlastiti i ostali prihodi </t>
  </si>
  <si>
    <t xml:space="preserve">Pomoći proračnunu iz drugih proračuna </t>
  </si>
  <si>
    <t xml:space="preserve">Tekuće pomoći proraračunu iz drugih proračuna </t>
  </si>
  <si>
    <t xml:space="preserve">Kapitalne pomoći proraračunu iz drugih proračuna </t>
  </si>
  <si>
    <t>Ostali nespomenuti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</si>
</sst>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3" fontId="6" fillId="6" borderId="4" xfId="0" applyNumberFormat="1" applyFont="1" applyFill="1" applyBorder="1" applyAlignment="1">
      <alignment horizontal="right"/>
    </xf>
    <xf numFmtId="0" fontId="6" fillId="7" borderId="1" xfId="0" applyNumberFormat="1" applyFont="1" applyFill="1" applyBorder="1" applyAlignment="1" applyProtection="1">
      <alignment horizontal="left" vertical="center" wrapText="1" indent="1"/>
    </xf>
    <xf numFmtId="0" fontId="6" fillId="7" borderId="2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3" fontId="3" fillId="8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1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1" fillId="9" borderId="3" xfId="0" applyNumberFormat="1" applyFont="1" applyFill="1" applyBorder="1" applyAlignment="1" applyProtection="1">
      <alignment horizontal="left" vertical="center" wrapText="1"/>
    </xf>
    <xf numFmtId="0" fontId="9" fillId="9" borderId="3" xfId="0" applyNumberFormat="1" applyFont="1" applyFill="1" applyBorder="1" applyAlignment="1" applyProtection="1">
      <alignment horizontal="left" vertical="center" wrapText="1"/>
    </xf>
    <xf numFmtId="0" fontId="9" fillId="9" borderId="3" xfId="0" quotePrefix="1" applyFont="1" applyFill="1" applyBorder="1" applyAlignment="1">
      <alignment horizontal="left" vertical="center"/>
    </xf>
    <xf numFmtId="0" fontId="10" fillId="9" borderId="3" xfId="0" quotePrefix="1" applyFont="1" applyFill="1" applyBorder="1" applyAlignment="1">
      <alignment horizontal="left" vertical="center"/>
    </xf>
    <xf numFmtId="0" fontId="11" fillId="10" borderId="3" xfId="0" applyNumberFormat="1" applyFont="1" applyFill="1" applyBorder="1" applyAlignment="1" applyProtection="1">
      <alignment horizontal="left" vertical="center" wrapText="1"/>
    </xf>
    <xf numFmtId="0" fontId="9" fillId="10" borderId="3" xfId="0" applyNumberFormat="1" applyFont="1" applyFill="1" applyBorder="1" applyAlignment="1" applyProtection="1">
      <alignment horizontal="left" vertical="center" wrapText="1"/>
    </xf>
    <xf numFmtId="0" fontId="9" fillId="10" borderId="1" xfId="0" applyNumberFormat="1" applyFont="1" applyFill="1" applyBorder="1" applyAlignment="1" applyProtection="1">
      <alignment horizontal="left" vertical="center" wrapText="1"/>
    </xf>
    <xf numFmtId="0" fontId="9" fillId="10" borderId="3" xfId="0" quotePrefix="1" applyFont="1" applyFill="1" applyBorder="1" applyAlignment="1">
      <alignment horizontal="left" vertical="center"/>
    </xf>
    <xf numFmtId="0" fontId="10" fillId="10" borderId="3" xfId="0" quotePrefix="1" applyFont="1" applyFill="1" applyBorder="1" applyAlignment="1">
      <alignment horizontal="left" vertical="center"/>
    </xf>
    <xf numFmtId="0" fontId="9" fillId="11" borderId="3" xfId="0" quotePrefix="1" applyFont="1" applyFill="1" applyBorder="1" applyAlignment="1">
      <alignment horizontal="left" vertical="center"/>
    </xf>
    <xf numFmtId="0" fontId="10" fillId="11" borderId="3" xfId="0" quotePrefix="1" applyFont="1" applyFill="1" applyBorder="1" applyAlignment="1">
      <alignment horizontal="left" vertical="center"/>
    </xf>
    <xf numFmtId="0" fontId="9" fillId="11" borderId="3" xfId="0" applyNumberFormat="1" applyFont="1" applyFill="1" applyBorder="1" applyAlignment="1" applyProtection="1">
      <alignment horizontal="left" vertical="center" wrapText="1"/>
    </xf>
    <xf numFmtId="0" fontId="6" fillId="7" borderId="3" xfId="0" applyNumberFormat="1" applyFont="1" applyFill="1" applyBorder="1" applyAlignment="1" applyProtection="1">
      <alignment horizontal="left" vertical="center" wrapText="1"/>
    </xf>
    <xf numFmtId="0" fontId="6" fillId="1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0" fontId="11" fillId="6" borderId="3" xfId="0" quotePrefix="1" applyFont="1" applyFill="1" applyBorder="1" applyAlignment="1">
      <alignment horizontal="left" vertical="center"/>
    </xf>
    <xf numFmtId="0" fontId="20" fillId="6" borderId="3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 wrapText="1"/>
    </xf>
    <xf numFmtId="0" fontId="11" fillId="6" borderId="3" xfId="0" applyNumberFormat="1" applyFont="1" applyFill="1" applyBorder="1" applyAlignment="1" applyProtection="1">
      <alignment horizontal="left" vertical="center" wrapText="1"/>
    </xf>
    <xf numFmtId="0" fontId="11" fillId="6" borderId="4" xfId="0" quotePrefix="1" applyFont="1" applyFill="1" applyBorder="1" applyAlignment="1">
      <alignment horizontal="left" vertical="center"/>
    </xf>
    <xf numFmtId="0" fontId="0" fillId="0" borderId="0" xfId="0" applyBorder="1"/>
    <xf numFmtId="0" fontId="19" fillId="2" borderId="4" xfId="0" applyNumberFormat="1" applyFont="1" applyFill="1" applyBorder="1" applyAlignment="1" applyProtection="1">
      <alignment horizontal="left" vertical="center" wrapText="1"/>
    </xf>
    <xf numFmtId="2" fontId="3" fillId="2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2" fontId="6" fillId="6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4" fontId="6" fillId="7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8" borderId="4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2" fontId="3" fillId="5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3" fillId="9" borderId="4" xfId="0" applyNumberFormat="1" applyFont="1" applyFill="1" applyBorder="1" applyAlignment="1">
      <alignment horizontal="right"/>
    </xf>
    <xf numFmtId="2" fontId="3" fillId="11" borderId="4" xfId="0" applyNumberFormat="1" applyFont="1" applyFill="1" applyBorder="1" applyAlignment="1">
      <alignment horizontal="right"/>
    </xf>
    <xf numFmtId="2" fontId="3" fillId="11" borderId="3" xfId="0" applyNumberFormat="1" applyFont="1" applyFill="1" applyBorder="1" applyAlignment="1">
      <alignment horizontal="right"/>
    </xf>
    <xf numFmtId="2" fontId="3" fillId="11" borderId="3" xfId="0" applyNumberFormat="1" applyFont="1" applyFill="1" applyBorder="1" applyAlignment="1" applyProtection="1">
      <alignment horizontal="right" wrapText="1"/>
    </xf>
    <xf numFmtId="2" fontId="3" fillId="5" borderId="3" xfId="0" applyNumberFormat="1" applyFont="1" applyFill="1" applyBorder="1" applyAlignment="1" applyProtection="1">
      <alignment horizontal="right" wrapText="1"/>
    </xf>
    <xf numFmtId="2" fontId="3" fillId="2" borderId="3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2" fontId="21" fillId="10" borderId="3" xfId="0" applyNumberFormat="1" applyFont="1" applyFill="1" applyBorder="1"/>
    <xf numFmtId="0" fontId="21" fillId="5" borderId="1" xfId="0" applyFont="1" applyFill="1" applyBorder="1"/>
    <xf numFmtId="2" fontId="21" fillId="5" borderId="3" xfId="0" applyNumberFormat="1" applyFont="1" applyFill="1" applyBorder="1"/>
    <xf numFmtId="0" fontId="21" fillId="0" borderId="1" xfId="0" applyFont="1" applyBorder="1"/>
    <xf numFmtId="2" fontId="21" fillId="0" borderId="3" xfId="0" applyNumberFormat="1" applyFont="1" applyBorder="1"/>
    <xf numFmtId="0" fontId="21" fillId="0" borderId="3" xfId="0" applyFont="1" applyBorder="1"/>
    <xf numFmtId="0" fontId="21" fillId="0" borderId="3" xfId="0" applyFont="1" applyBorder="1" applyAlignment="1">
      <alignment horizontal="left"/>
    </xf>
    <xf numFmtId="0" fontId="21" fillId="5" borderId="3" xfId="0" applyFont="1" applyFill="1" applyBorder="1"/>
    <xf numFmtId="0" fontId="21" fillId="5" borderId="3" xfId="0" applyFont="1" applyFill="1" applyBorder="1" applyAlignment="1">
      <alignment horizontal="left"/>
    </xf>
    <xf numFmtId="0" fontId="21" fillId="2" borderId="3" xfId="0" applyFont="1" applyFill="1" applyBorder="1"/>
    <xf numFmtId="0" fontId="21" fillId="2" borderId="3" xfId="0" applyFont="1" applyFill="1" applyBorder="1" applyAlignment="1">
      <alignment horizontal="left"/>
    </xf>
    <xf numFmtId="2" fontId="21" fillId="2" borderId="3" xfId="0" applyNumberFormat="1" applyFont="1" applyFill="1" applyBorder="1"/>
    <xf numFmtId="0" fontId="21" fillId="10" borderId="3" xfId="0" applyFont="1" applyFill="1" applyBorder="1"/>
    <xf numFmtId="0" fontId="21" fillId="10" borderId="3" xfId="0" applyFont="1" applyFill="1" applyBorder="1" applyAlignment="1">
      <alignment horizontal="left"/>
    </xf>
    <xf numFmtId="0" fontId="21" fillId="12" borderId="3" xfId="0" applyFont="1" applyFill="1" applyBorder="1"/>
    <xf numFmtId="0" fontId="21" fillId="12" borderId="3" xfId="0" applyFont="1" applyFill="1" applyBorder="1" applyAlignment="1">
      <alignment horizontal="left"/>
    </xf>
    <xf numFmtId="2" fontId="21" fillId="12" borderId="3" xfId="0" applyNumberFormat="1" applyFont="1" applyFill="1" applyBorder="1"/>
    <xf numFmtId="0" fontId="21" fillId="0" borderId="3" xfId="0" applyFont="1" applyFill="1" applyBorder="1" applyAlignment="1">
      <alignment horizontal="left"/>
    </xf>
    <xf numFmtId="2" fontId="21" fillId="13" borderId="3" xfId="0" applyNumberFormat="1" applyFont="1" applyFill="1" applyBorder="1"/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0" fillId="10" borderId="3" xfId="0" applyNumberFormat="1" applyFill="1" applyBorder="1"/>
    <xf numFmtId="4" fontId="3" fillId="5" borderId="3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3" fillId="11" borderId="4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 applyProtection="1">
      <alignment horizontal="right" wrapText="1"/>
    </xf>
    <xf numFmtId="4" fontId="3" fillId="6" borderId="4" xfId="0" applyNumberFormat="1" applyFont="1" applyFill="1" applyBorder="1" applyAlignment="1">
      <alignment horizontal="right"/>
    </xf>
    <xf numFmtId="0" fontId="11" fillId="7" borderId="3" xfId="0" applyNumberFormat="1" applyFont="1" applyFill="1" applyBorder="1" applyAlignment="1" applyProtection="1">
      <alignment horizontal="left" vertical="center" wrapText="1"/>
    </xf>
    <xf numFmtId="0" fontId="11" fillId="7" borderId="3" xfId="0" quotePrefix="1" applyFont="1" applyFill="1" applyBorder="1" applyAlignment="1">
      <alignment horizontal="left" vertical="center"/>
    </xf>
    <xf numFmtId="0" fontId="20" fillId="7" borderId="3" xfId="0" quotePrefix="1" applyFont="1" applyFill="1" applyBorder="1" applyAlignment="1">
      <alignment horizontal="left" vertical="center"/>
    </xf>
    <xf numFmtId="4" fontId="6" fillId="7" borderId="3" xfId="0" applyNumberFormat="1" applyFont="1" applyFill="1" applyBorder="1" applyAlignment="1">
      <alignment horizontal="right"/>
    </xf>
    <xf numFmtId="1" fontId="21" fillId="0" borderId="3" xfId="0" applyNumberFormat="1" applyFont="1" applyBorder="1"/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11" fillId="2" borderId="0" xfId="0" quotePrefix="1" applyFont="1" applyFill="1" applyBorder="1" applyAlignment="1">
      <alignment horizontal="left" vertical="center"/>
    </xf>
    <xf numFmtId="0" fontId="20" fillId="2" borderId="0" xfId="0" quotePrefix="1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horizontal="right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21" fillId="12" borderId="1" xfId="0" applyFont="1" applyFill="1" applyBorder="1" applyAlignment="1">
      <alignment horizontal="center"/>
    </xf>
    <xf numFmtId="0" fontId="21" fillId="12" borderId="2" xfId="0" applyFont="1" applyFill="1" applyBorder="1" applyAlignment="1">
      <alignment horizontal="center"/>
    </xf>
    <xf numFmtId="0" fontId="21" fillId="12" borderId="4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G13" sqref="G1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74" t="s">
        <v>55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74" t="s">
        <v>32</v>
      </c>
      <c r="B3" s="174"/>
      <c r="C3" s="174"/>
      <c r="D3" s="174"/>
      <c r="E3" s="174"/>
      <c r="F3" s="174"/>
      <c r="G3" s="174"/>
      <c r="H3" s="174"/>
      <c r="I3" s="176"/>
      <c r="J3" s="176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74" t="s">
        <v>41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5" t="s">
        <v>46</v>
      </c>
    </row>
    <row r="7" spans="1:10" ht="25.5" x14ac:dyDescent="0.25">
      <c r="A7" s="33"/>
      <c r="B7" s="34"/>
      <c r="C7" s="34"/>
      <c r="D7" s="35"/>
      <c r="E7" s="36"/>
      <c r="F7" s="4" t="s">
        <v>43</v>
      </c>
      <c r="G7" s="4" t="s">
        <v>44</v>
      </c>
      <c r="H7" s="4" t="s">
        <v>49</v>
      </c>
      <c r="I7" s="4" t="s">
        <v>50</v>
      </c>
      <c r="J7" s="4" t="s">
        <v>51</v>
      </c>
    </row>
    <row r="8" spans="1:10" x14ac:dyDescent="0.25">
      <c r="A8" s="177" t="s">
        <v>0</v>
      </c>
      <c r="B8" s="178"/>
      <c r="C8" s="178"/>
      <c r="D8" s="178"/>
      <c r="E8" s="179"/>
      <c r="F8" s="37">
        <f>F9+F10</f>
        <v>530746.44999999995</v>
      </c>
      <c r="G8" s="37">
        <f t="shared" ref="G8:J8" si="0">G9+G10</f>
        <v>526591</v>
      </c>
      <c r="H8" s="37">
        <f t="shared" si="0"/>
        <v>558890</v>
      </c>
      <c r="I8" s="37">
        <f t="shared" si="0"/>
        <v>568257</v>
      </c>
      <c r="J8" s="37">
        <f t="shared" si="0"/>
        <v>574770</v>
      </c>
    </row>
    <row r="9" spans="1:10" x14ac:dyDescent="0.25">
      <c r="A9" s="180" t="s">
        <v>1</v>
      </c>
      <c r="B9" s="173"/>
      <c r="C9" s="173"/>
      <c r="D9" s="173"/>
      <c r="E9" s="181"/>
      <c r="F9" s="38">
        <v>530746.44999999995</v>
      </c>
      <c r="G9" s="38">
        <v>526591</v>
      </c>
      <c r="H9" s="38">
        <f>' Račun prihoda i rashoda'!I59</f>
        <v>558890</v>
      </c>
      <c r="I9" s="38">
        <f>' Račun prihoda i rashoda'!J59</f>
        <v>568257</v>
      </c>
      <c r="J9" s="38">
        <f>' Račun prihoda i rashoda'!K59</f>
        <v>574770</v>
      </c>
    </row>
    <row r="10" spans="1:10" x14ac:dyDescent="0.25">
      <c r="A10" s="182" t="s">
        <v>2</v>
      </c>
      <c r="B10" s="181"/>
      <c r="C10" s="181"/>
      <c r="D10" s="181"/>
      <c r="E10" s="181"/>
      <c r="F10" s="38"/>
      <c r="G10" s="38"/>
      <c r="H10" s="38"/>
      <c r="I10" s="38"/>
      <c r="J10" s="38"/>
    </row>
    <row r="11" spans="1:10" x14ac:dyDescent="0.25">
      <c r="A11" s="46" t="s">
        <v>3</v>
      </c>
      <c r="B11" s="47"/>
      <c r="C11" s="47"/>
      <c r="D11" s="47"/>
      <c r="E11" s="47"/>
      <c r="F11" s="37">
        <f>F12+F13</f>
        <v>528042.30000000005</v>
      </c>
      <c r="G11" s="37">
        <f t="shared" ref="G11:J11" si="1">G12+G13</f>
        <v>530120</v>
      </c>
      <c r="H11" s="37">
        <f t="shared" si="1"/>
        <v>561027</v>
      </c>
      <c r="I11" s="37">
        <f t="shared" si="1"/>
        <v>568257</v>
      </c>
      <c r="J11" s="37">
        <f t="shared" si="1"/>
        <v>574770</v>
      </c>
    </row>
    <row r="12" spans="1:10" x14ac:dyDescent="0.25">
      <c r="A12" s="172" t="s">
        <v>4</v>
      </c>
      <c r="B12" s="173"/>
      <c r="C12" s="173"/>
      <c r="D12" s="173"/>
      <c r="E12" s="173"/>
      <c r="F12" s="38">
        <v>522392.3</v>
      </c>
      <c r="G12" s="38">
        <v>524201</v>
      </c>
      <c r="H12" s="38">
        <f>543597+13000</f>
        <v>556597</v>
      </c>
      <c r="I12" s="38">
        <f>550772+13000</f>
        <v>563772</v>
      </c>
      <c r="J12" s="39">
        <f>557235+13000</f>
        <v>570235</v>
      </c>
    </row>
    <row r="13" spans="1:10" x14ac:dyDescent="0.25">
      <c r="A13" s="186" t="s">
        <v>5</v>
      </c>
      <c r="B13" s="181"/>
      <c r="C13" s="181"/>
      <c r="D13" s="181"/>
      <c r="E13" s="181"/>
      <c r="F13" s="40">
        <v>5650</v>
      </c>
      <c r="G13" s="40">
        <v>5919</v>
      </c>
      <c r="H13" s="40">
        <v>4430</v>
      </c>
      <c r="I13" s="40">
        <v>4485</v>
      </c>
      <c r="J13" s="39">
        <v>4535</v>
      </c>
    </row>
    <row r="14" spans="1:10" x14ac:dyDescent="0.25">
      <c r="A14" s="185" t="s">
        <v>6</v>
      </c>
      <c r="B14" s="178"/>
      <c r="C14" s="178"/>
      <c r="D14" s="178"/>
      <c r="E14" s="178"/>
      <c r="F14" s="37">
        <f>F8-F11</f>
        <v>2704.1499999999069</v>
      </c>
      <c r="G14" s="37">
        <f t="shared" ref="G14:J14" si="2">G8-G11</f>
        <v>-3529</v>
      </c>
      <c r="H14" s="37">
        <f t="shared" si="2"/>
        <v>-2137</v>
      </c>
      <c r="I14" s="37">
        <f t="shared" si="2"/>
        <v>0</v>
      </c>
      <c r="J14" s="37">
        <f t="shared" si="2"/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74" t="s">
        <v>42</v>
      </c>
      <c r="B16" s="175"/>
      <c r="C16" s="175"/>
      <c r="D16" s="175"/>
      <c r="E16" s="175"/>
      <c r="F16" s="175"/>
      <c r="G16" s="175"/>
      <c r="H16" s="175"/>
      <c r="I16" s="175"/>
      <c r="J16" s="175"/>
    </row>
    <row r="17" spans="1:10" ht="18" x14ac:dyDescent="0.25">
      <c r="A17" s="29"/>
      <c r="B17" s="27"/>
      <c r="C17" s="27"/>
      <c r="D17" s="27"/>
      <c r="E17" s="27"/>
      <c r="F17" s="27"/>
      <c r="G17" s="27"/>
      <c r="H17" s="28"/>
      <c r="I17" s="28"/>
      <c r="J17" s="28"/>
    </row>
    <row r="18" spans="1:10" ht="25.5" x14ac:dyDescent="0.25">
      <c r="A18" s="33"/>
      <c r="B18" s="34"/>
      <c r="C18" s="34"/>
      <c r="D18" s="35"/>
      <c r="E18" s="36"/>
      <c r="F18" s="4" t="s">
        <v>12</v>
      </c>
      <c r="G18" s="4" t="s">
        <v>13</v>
      </c>
      <c r="H18" s="4" t="s">
        <v>49</v>
      </c>
      <c r="I18" s="4" t="s">
        <v>50</v>
      </c>
      <c r="J18" s="4" t="s">
        <v>51</v>
      </c>
    </row>
    <row r="19" spans="1:10" ht="15.75" customHeight="1" x14ac:dyDescent="0.25">
      <c r="A19" s="180" t="s">
        <v>8</v>
      </c>
      <c r="B19" s="183"/>
      <c r="C19" s="183"/>
      <c r="D19" s="183"/>
      <c r="E19" s="184"/>
      <c r="F19" s="40"/>
      <c r="G19" s="40"/>
      <c r="H19" s="40"/>
      <c r="I19" s="40"/>
      <c r="J19" s="40"/>
    </row>
    <row r="20" spans="1:10" x14ac:dyDescent="0.25">
      <c r="A20" s="180" t="s">
        <v>9</v>
      </c>
      <c r="B20" s="173"/>
      <c r="C20" s="173"/>
      <c r="D20" s="173"/>
      <c r="E20" s="173"/>
      <c r="F20" s="40"/>
      <c r="G20" s="40"/>
      <c r="H20" s="40"/>
      <c r="I20" s="40"/>
      <c r="J20" s="40"/>
    </row>
    <row r="21" spans="1:10" x14ac:dyDescent="0.25">
      <c r="A21" s="185" t="s">
        <v>10</v>
      </c>
      <c r="B21" s="178"/>
      <c r="C21" s="178"/>
      <c r="D21" s="178"/>
      <c r="E21" s="178"/>
      <c r="F21" s="37">
        <v>0</v>
      </c>
      <c r="G21" s="37">
        <v>0</v>
      </c>
      <c r="H21" s="37">
        <v>0</v>
      </c>
      <c r="I21" s="37">
        <v>0</v>
      </c>
      <c r="J21" s="37">
        <v>0</v>
      </c>
    </row>
    <row r="22" spans="1:10" ht="18" x14ac:dyDescent="0.25">
      <c r="A22" s="26"/>
      <c r="B22" s="27"/>
      <c r="C22" s="27"/>
      <c r="D22" s="27"/>
      <c r="E22" s="27"/>
      <c r="F22" s="27"/>
      <c r="G22" s="27"/>
      <c r="H22" s="28"/>
      <c r="I22" s="28"/>
      <c r="J22" s="28"/>
    </row>
    <row r="23" spans="1:10" ht="18" customHeight="1" x14ac:dyDescent="0.25">
      <c r="A23" s="174" t="s">
        <v>57</v>
      </c>
      <c r="B23" s="175"/>
      <c r="C23" s="175"/>
      <c r="D23" s="175"/>
      <c r="E23" s="175"/>
      <c r="F23" s="175"/>
      <c r="G23" s="175"/>
      <c r="H23" s="175"/>
      <c r="I23" s="175"/>
      <c r="J23" s="175"/>
    </row>
    <row r="24" spans="1:10" ht="18" x14ac:dyDescent="0.25">
      <c r="A24" s="26"/>
      <c r="B24" s="27"/>
      <c r="C24" s="27"/>
      <c r="D24" s="27"/>
      <c r="E24" s="27"/>
      <c r="F24" s="27"/>
      <c r="G24" s="27"/>
      <c r="H24" s="28"/>
      <c r="I24" s="28"/>
      <c r="J24" s="28"/>
    </row>
    <row r="25" spans="1:10" ht="25.5" x14ac:dyDescent="0.25">
      <c r="A25" s="33"/>
      <c r="B25" s="34"/>
      <c r="C25" s="34"/>
      <c r="D25" s="35"/>
      <c r="E25" s="36"/>
      <c r="F25" s="4" t="s">
        <v>12</v>
      </c>
      <c r="G25" s="4" t="s">
        <v>13</v>
      </c>
      <c r="H25" s="4" t="s">
        <v>49</v>
      </c>
      <c r="I25" s="4" t="s">
        <v>50</v>
      </c>
      <c r="J25" s="4" t="s">
        <v>51</v>
      </c>
    </row>
    <row r="26" spans="1:10" x14ac:dyDescent="0.25">
      <c r="A26" s="189" t="s">
        <v>45</v>
      </c>
      <c r="B26" s="190"/>
      <c r="C26" s="190"/>
      <c r="D26" s="190"/>
      <c r="E26" s="191"/>
      <c r="F26" s="42">
        <v>7804</v>
      </c>
      <c r="G26" s="42">
        <v>1000</v>
      </c>
      <c r="H26" s="42">
        <v>0</v>
      </c>
      <c r="I26" s="42"/>
      <c r="J26" s="43"/>
    </row>
    <row r="27" spans="1:10" ht="30" customHeight="1" x14ac:dyDescent="0.25">
      <c r="A27" s="192" t="s">
        <v>7</v>
      </c>
      <c r="B27" s="193"/>
      <c r="C27" s="193"/>
      <c r="D27" s="193"/>
      <c r="E27" s="194"/>
      <c r="F27" s="44">
        <v>-2704</v>
      </c>
      <c r="G27" s="44">
        <v>610</v>
      </c>
      <c r="H27" s="44">
        <v>2137</v>
      </c>
      <c r="I27" s="44"/>
      <c r="J27" s="41"/>
    </row>
    <row r="30" spans="1:10" x14ac:dyDescent="0.25">
      <c r="A30" s="172" t="s">
        <v>11</v>
      </c>
      <c r="B30" s="173"/>
      <c r="C30" s="173"/>
      <c r="D30" s="173"/>
      <c r="E30" s="173"/>
      <c r="F30" s="40">
        <v>0</v>
      </c>
      <c r="G30" s="40">
        <v>0</v>
      </c>
      <c r="H30" s="40">
        <v>0</v>
      </c>
      <c r="I30" s="40">
        <v>0</v>
      </c>
      <c r="J30" s="40">
        <v>0</v>
      </c>
    </row>
    <row r="31" spans="1:10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</row>
    <row r="32" spans="1:10" ht="29.25" customHeight="1" x14ac:dyDescent="0.25">
      <c r="A32" s="187" t="s">
        <v>58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33" spans="1:10" ht="8.25" customHeight="1" x14ac:dyDescent="0.25"/>
    <row r="34" spans="1:10" x14ac:dyDescent="0.25">
      <c r="A34" s="187" t="s">
        <v>47</v>
      </c>
      <c r="B34" s="188"/>
      <c r="C34" s="188"/>
      <c r="D34" s="188"/>
      <c r="E34" s="188"/>
      <c r="F34" s="188"/>
      <c r="G34" s="188"/>
      <c r="H34" s="188"/>
      <c r="I34" s="188"/>
      <c r="J34" s="188"/>
    </row>
    <row r="35" spans="1:10" ht="8.25" customHeight="1" x14ac:dyDescent="0.25"/>
    <row r="36" spans="1:10" ht="29.25" customHeight="1" x14ac:dyDescent="0.25">
      <c r="A36" s="187" t="s">
        <v>48</v>
      </c>
      <c r="B36" s="188"/>
      <c r="C36" s="188"/>
      <c r="D36" s="188"/>
      <c r="E36" s="188"/>
      <c r="F36" s="188"/>
      <c r="G36" s="188"/>
      <c r="H36" s="188"/>
      <c r="I36" s="188"/>
      <c r="J36" s="188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topLeftCell="A121" workbookViewId="0">
      <selection activeCell="J26" sqref="J26"/>
    </sheetView>
  </sheetViews>
  <sheetFormatPr defaultRowHeight="15" x14ac:dyDescent="0.25"/>
  <cols>
    <col min="1" max="1" width="7.42578125" bestFit="1" customWidth="1"/>
    <col min="2" max="2" width="13.28515625" customWidth="1"/>
    <col min="3" max="3" width="5.42578125" bestFit="1" customWidth="1"/>
    <col min="4" max="4" width="29.42578125" customWidth="1"/>
    <col min="5" max="11" width="18.7109375" customWidth="1"/>
  </cols>
  <sheetData>
    <row r="1" spans="1:11" ht="42" customHeight="1" x14ac:dyDescent="0.25">
      <c r="A1" s="174" t="s">
        <v>55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8" customHeight="1" x14ac:dyDescent="0.25">
      <c r="A2" s="5"/>
      <c r="B2" s="5"/>
      <c r="C2" s="5"/>
      <c r="D2" s="5"/>
      <c r="E2" s="29"/>
      <c r="F2" s="5"/>
      <c r="G2" s="29"/>
      <c r="H2" s="5"/>
      <c r="I2" s="5"/>
      <c r="J2" s="5"/>
      <c r="K2" s="5"/>
    </row>
    <row r="3" spans="1:11" ht="15.75" x14ac:dyDescent="0.25">
      <c r="A3" s="174" t="s">
        <v>32</v>
      </c>
      <c r="B3" s="174"/>
      <c r="C3" s="174"/>
      <c r="D3" s="174"/>
      <c r="E3" s="174"/>
      <c r="F3" s="174"/>
      <c r="G3" s="174"/>
      <c r="H3" s="174"/>
      <c r="I3" s="174"/>
      <c r="J3" s="176"/>
      <c r="K3" s="176"/>
    </row>
    <row r="4" spans="1:11" ht="18" x14ac:dyDescent="0.25">
      <c r="A4" s="5"/>
      <c r="B4" s="5"/>
      <c r="C4" s="5"/>
      <c r="D4" s="5"/>
      <c r="E4" s="29"/>
      <c r="F4" s="5"/>
      <c r="G4" s="29"/>
      <c r="H4" s="5"/>
      <c r="I4" s="5"/>
      <c r="J4" s="6"/>
      <c r="K4" s="6"/>
    </row>
    <row r="5" spans="1:11" ht="18" customHeight="1" x14ac:dyDescent="0.25">
      <c r="A5" s="174" t="s">
        <v>15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ht="18" x14ac:dyDescent="0.25">
      <c r="A6" s="5"/>
      <c r="B6" s="5"/>
      <c r="C6" s="5"/>
      <c r="D6" s="5"/>
      <c r="E6" s="29"/>
      <c r="F6" s="5"/>
      <c r="G6" s="29"/>
      <c r="H6" s="5"/>
      <c r="I6" s="5"/>
      <c r="J6" s="6"/>
      <c r="K6" s="6"/>
    </row>
    <row r="7" spans="1:11" ht="15.75" x14ac:dyDescent="0.25">
      <c r="A7" s="174" t="s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ht="18" x14ac:dyDescent="0.25">
      <c r="A8" s="5"/>
      <c r="B8" s="5"/>
      <c r="C8" s="5"/>
      <c r="D8" s="5"/>
      <c r="E8" s="29"/>
      <c r="F8" s="5"/>
      <c r="G8" s="29"/>
      <c r="H8" s="5"/>
      <c r="I8" s="5"/>
      <c r="J8" s="6"/>
      <c r="K8" s="6"/>
    </row>
    <row r="9" spans="1:11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156</v>
      </c>
      <c r="F9" s="24" t="s">
        <v>157</v>
      </c>
      <c r="G9" s="25" t="s">
        <v>158</v>
      </c>
      <c r="H9" s="25" t="s">
        <v>159</v>
      </c>
      <c r="I9" s="25" t="s">
        <v>49</v>
      </c>
      <c r="J9" s="25" t="s">
        <v>50</v>
      </c>
      <c r="K9" s="25" t="s">
        <v>51</v>
      </c>
    </row>
    <row r="10" spans="1:11" ht="15.75" customHeight="1" x14ac:dyDescent="0.25">
      <c r="A10" s="95">
        <v>6</v>
      </c>
      <c r="B10" s="95"/>
      <c r="C10" s="95"/>
      <c r="D10" s="97" t="s">
        <v>19</v>
      </c>
      <c r="E10" s="121">
        <f t="shared" ref="E10:K10" si="0">SUM(E11+E27+E36+E49)</f>
        <v>3998909.11</v>
      </c>
      <c r="F10" s="121">
        <f t="shared" si="0"/>
        <v>530746.44767403277</v>
      </c>
      <c r="G10" s="121">
        <f t="shared" si="0"/>
        <v>3967600</v>
      </c>
      <c r="H10" s="121">
        <f t="shared" si="0"/>
        <v>526591.01466587035</v>
      </c>
      <c r="I10" s="121">
        <f t="shared" si="0"/>
        <v>558890</v>
      </c>
      <c r="J10" s="121">
        <f t="shared" si="0"/>
        <v>568257</v>
      </c>
      <c r="K10" s="121">
        <f t="shared" si="0"/>
        <v>574770</v>
      </c>
    </row>
    <row r="11" spans="1:11" ht="38.25" x14ac:dyDescent="0.25">
      <c r="A11" s="87"/>
      <c r="B11" s="87">
        <v>63</v>
      </c>
      <c r="C11" s="88"/>
      <c r="D11" s="57" t="s">
        <v>52</v>
      </c>
      <c r="E11" s="156">
        <f>SUM(E15,E18+E12)</f>
        <v>3638886.11</v>
      </c>
      <c r="F11" s="156">
        <f t="shared" ref="F11:K11" si="1">SUM(F15,F18+F12)</f>
        <v>482963.18402017391</v>
      </c>
      <c r="G11" s="156">
        <f t="shared" si="1"/>
        <v>3528000</v>
      </c>
      <c r="H11" s="156">
        <f>SUM(H15,H18+H12)</f>
        <v>468246.06808680069</v>
      </c>
      <c r="I11" s="156">
        <f t="shared" si="1"/>
        <v>505125</v>
      </c>
      <c r="J11" s="156">
        <f t="shared" si="1"/>
        <v>511175</v>
      </c>
      <c r="K11" s="156">
        <f t="shared" si="1"/>
        <v>517575</v>
      </c>
    </row>
    <row r="12" spans="1:11" ht="25.5" x14ac:dyDescent="0.25">
      <c r="A12" s="83"/>
      <c r="B12" s="84">
        <v>633</v>
      </c>
      <c r="C12" s="84"/>
      <c r="D12" s="55" t="s">
        <v>169</v>
      </c>
      <c r="E12" s="157">
        <f t="shared" ref="E12:K12" si="2">SUM(E13:E14)</f>
        <v>22930.75</v>
      </c>
      <c r="F12" s="157">
        <f t="shared" si="2"/>
        <v>3043.4335390536862</v>
      </c>
      <c r="G12" s="157">
        <f t="shared" si="2"/>
        <v>15000</v>
      </c>
      <c r="H12" s="157">
        <f t="shared" si="2"/>
        <v>1990.8421262193906</v>
      </c>
      <c r="I12" s="157">
        <f t="shared" si="2"/>
        <v>1275</v>
      </c>
      <c r="J12" s="157">
        <f t="shared" si="2"/>
        <v>1275</v>
      </c>
      <c r="K12" s="157">
        <f t="shared" si="2"/>
        <v>1275</v>
      </c>
    </row>
    <row r="13" spans="1:11" ht="25.5" x14ac:dyDescent="0.25">
      <c r="A13" s="14"/>
      <c r="B13" s="14">
        <v>6331</v>
      </c>
      <c r="C13" s="15"/>
      <c r="D13" s="111" t="s">
        <v>170</v>
      </c>
      <c r="E13" s="124">
        <v>18940.75</v>
      </c>
      <c r="F13" s="124">
        <f>E13/7.5345</f>
        <v>2513.8695334793283</v>
      </c>
      <c r="G13" s="124">
        <v>15000</v>
      </c>
      <c r="H13" s="124">
        <f>G13/7.5345</f>
        <v>1990.8421262193906</v>
      </c>
      <c r="I13" s="124">
        <v>1275</v>
      </c>
      <c r="J13" s="124">
        <v>1275</v>
      </c>
      <c r="K13" s="124">
        <v>1275</v>
      </c>
    </row>
    <row r="14" spans="1:11" ht="25.5" x14ac:dyDescent="0.25">
      <c r="A14" s="14"/>
      <c r="B14" s="14">
        <v>6332</v>
      </c>
      <c r="C14" s="15"/>
      <c r="D14" s="111" t="s">
        <v>171</v>
      </c>
      <c r="E14" s="124">
        <v>3990</v>
      </c>
      <c r="F14" s="124">
        <f>E14/7.5345</f>
        <v>529.56400557435791</v>
      </c>
      <c r="G14" s="124">
        <v>0</v>
      </c>
      <c r="H14" s="124"/>
      <c r="I14" s="124"/>
      <c r="J14" s="124"/>
      <c r="K14" s="124"/>
    </row>
    <row r="15" spans="1:11" ht="25.5" x14ac:dyDescent="0.25">
      <c r="A15" s="83"/>
      <c r="B15" s="84">
        <v>636</v>
      </c>
      <c r="C15" s="84"/>
      <c r="D15" s="55" t="s">
        <v>130</v>
      </c>
      <c r="E15" s="157">
        <f t="shared" ref="E15:K15" si="3">SUM(E16:E17)</f>
        <v>3603160.36</v>
      </c>
      <c r="F15" s="157">
        <f t="shared" si="3"/>
        <v>478221.56214745506</v>
      </c>
      <c r="G15" s="157">
        <f t="shared" si="3"/>
        <v>3500000</v>
      </c>
      <c r="H15" s="157">
        <f t="shared" si="3"/>
        <v>464529.82945119118</v>
      </c>
      <c r="I15" s="157">
        <f t="shared" si="3"/>
        <v>502850</v>
      </c>
      <c r="J15" s="157">
        <f t="shared" si="3"/>
        <v>508900</v>
      </c>
      <c r="K15" s="157">
        <f t="shared" si="3"/>
        <v>515300</v>
      </c>
    </row>
    <row r="16" spans="1:11" ht="38.25" x14ac:dyDescent="0.25">
      <c r="A16" s="14"/>
      <c r="B16" s="14">
        <v>6361</v>
      </c>
      <c r="C16" s="15"/>
      <c r="D16" s="98" t="s">
        <v>131</v>
      </c>
      <c r="E16" s="124">
        <v>3571627.08</v>
      </c>
      <c r="F16" s="124">
        <f t="shared" ref="F16:F17" si="4">E16/7.5345</f>
        <v>474036.37666733027</v>
      </c>
      <c r="G16" s="124">
        <v>3500000</v>
      </c>
      <c r="H16" s="124">
        <f>G16/7.5345</f>
        <v>464529.82945119118</v>
      </c>
      <c r="I16" s="124">
        <v>498900</v>
      </c>
      <c r="J16" s="124">
        <v>504950</v>
      </c>
      <c r="K16" s="124">
        <v>511300</v>
      </c>
    </row>
    <row r="17" spans="1:11" ht="38.25" x14ac:dyDescent="0.25">
      <c r="A17" s="14"/>
      <c r="B17" s="14">
        <v>6362</v>
      </c>
      <c r="C17" s="15"/>
      <c r="D17" s="98" t="s">
        <v>132</v>
      </c>
      <c r="E17" s="124">
        <v>31533.279999999999</v>
      </c>
      <c r="F17" s="124">
        <f t="shared" si="4"/>
        <v>4185.1854801247591</v>
      </c>
      <c r="G17" s="124"/>
      <c r="H17" s="124"/>
      <c r="I17" s="124">
        <v>3950</v>
      </c>
      <c r="J17" s="124">
        <v>3950</v>
      </c>
      <c r="K17" s="124">
        <v>4000</v>
      </c>
    </row>
    <row r="18" spans="1:11" ht="25.5" x14ac:dyDescent="0.25">
      <c r="A18" s="85"/>
      <c r="B18" s="85">
        <v>638</v>
      </c>
      <c r="C18" s="86"/>
      <c r="D18" s="55" t="s">
        <v>133</v>
      </c>
      <c r="E18" s="158">
        <f t="shared" ref="E18:K18" si="5">SUM(E19:E20)</f>
        <v>12795</v>
      </c>
      <c r="F18" s="158">
        <f t="shared" si="5"/>
        <v>1698.1883336651404</v>
      </c>
      <c r="G18" s="158">
        <f t="shared" si="5"/>
        <v>13000</v>
      </c>
      <c r="H18" s="158">
        <f t="shared" si="5"/>
        <v>1725.3965093901386</v>
      </c>
      <c r="I18" s="158">
        <f t="shared" si="5"/>
        <v>1000</v>
      </c>
      <c r="J18" s="158">
        <f t="shared" si="5"/>
        <v>1000</v>
      </c>
      <c r="K18" s="158">
        <f t="shared" si="5"/>
        <v>1000</v>
      </c>
    </row>
    <row r="19" spans="1:11" ht="25.5" x14ac:dyDescent="0.25">
      <c r="A19" s="14"/>
      <c r="B19" s="14">
        <v>6381</v>
      </c>
      <c r="C19" s="15"/>
      <c r="D19" s="98" t="s">
        <v>134</v>
      </c>
      <c r="E19" s="124">
        <v>12795</v>
      </c>
      <c r="F19" s="124">
        <f>E19/7.5345</f>
        <v>1698.1883336651404</v>
      </c>
      <c r="G19" s="124">
        <v>13000</v>
      </c>
      <c r="H19" s="124">
        <f>G19/7.5345</f>
        <v>1725.3965093901386</v>
      </c>
      <c r="I19" s="124">
        <v>1000</v>
      </c>
      <c r="J19" s="124">
        <v>1000</v>
      </c>
      <c r="K19" s="124">
        <v>1000</v>
      </c>
    </row>
    <row r="20" spans="1:11" ht="25.5" x14ac:dyDescent="0.25">
      <c r="A20" s="14"/>
      <c r="B20" s="14">
        <v>6382</v>
      </c>
      <c r="C20" s="15"/>
      <c r="D20" s="98" t="s">
        <v>135</v>
      </c>
      <c r="E20" s="124"/>
      <c r="F20" s="124"/>
      <c r="G20" s="124"/>
      <c r="H20" s="124"/>
      <c r="I20" s="124"/>
      <c r="J20" s="124"/>
      <c r="K20" s="124"/>
    </row>
    <row r="21" spans="1:11" x14ac:dyDescent="0.25">
      <c r="A21" s="92"/>
      <c r="B21" s="92"/>
      <c r="C21" s="93">
        <v>11</v>
      </c>
      <c r="D21" s="93" t="s">
        <v>20</v>
      </c>
      <c r="E21" s="159"/>
      <c r="F21" s="159"/>
      <c r="G21" s="160"/>
      <c r="H21" s="160"/>
      <c r="I21" s="160"/>
      <c r="J21" s="160"/>
      <c r="K21" s="160"/>
    </row>
    <row r="22" spans="1:11" x14ac:dyDescent="0.25">
      <c r="A22" s="92"/>
      <c r="B22" s="92"/>
      <c r="C22" s="93">
        <v>31</v>
      </c>
      <c r="D22" s="93" t="s">
        <v>168</v>
      </c>
      <c r="E22" s="159"/>
      <c r="F22" s="159"/>
      <c r="G22" s="160"/>
      <c r="H22" s="160"/>
      <c r="I22" s="160"/>
      <c r="J22" s="160"/>
      <c r="K22" s="160"/>
    </row>
    <row r="23" spans="1:11" x14ac:dyDescent="0.25">
      <c r="A23" s="92"/>
      <c r="B23" s="92"/>
      <c r="C23" s="93">
        <v>44</v>
      </c>
      <c r="D23" s="93" t="s">
        <v>163</v>
      </c>
      <c r="E23" s="159"/>
      <c r="F23" s="159"/>
      <c r="G23" s="160"/>
      <c r="H23" s="160"/>
      <c r="I23" s="160"/>
      <c r="J23" s="160"/>
      <c r="K23" s="160"/>
    </row>
    <row r="24" spans="1:11" x14ac:dyDescent="0.25">
      <c r="A24" s="94"/>
      <c r="B24" s="92"/>
      <c r="C24" s="93">
        <v>51</v>
      </c>
      <c r="D24" s="93" t="s">
        <v>126</v>
      </c>
      <c r="E24" s="159">
        <f>E19</f>
        <v>12795</v>
      </c>
      <c r="F24" s="159">
        <f t="shared" ref="F24:K24" si="6">F19</f>
        <v>1698.1883336651404</v>
      </c>
      <c r="G24" s="159">
        <f t="shared" si="6"/>
        <v>13000</v>
      </c>
      <c r="H24" s="159">
        <f t="shared" si="6"/>
        <v>1725.3965093901386</v>
      </c>
      <c r="I24" s="159">
        <f t="shared" si="6"/>
        <v>1000</v>
      </c>
      <c r="J24" s="159">
        <f t="shared" si="6"/>
        <v>1000</v>
      </c>
      <c r="K24" s="159">
        <f t="shared" si="6"/>
        <v>1000</v>
      </c>
    </row>
    <row r="25" spans="1:11" x14ac:dyDescent="0.25">
      <c r="A25" s="94"/>
      <c r="B25" s="92"/>
      <c r="C25" s="93">
        <v>43</v>
      </c>
      <c r="D25" s="93" t="s">
        <v>54</v>
      </c>
      <c r="E25" s="159"/>
      <c r="F25" s="159"/>
      <c r="G25" s="160"/>
      <c r="H25" s="160"/>
      <c r="I25" s="160"/>
      <c r="J25" s="160"/>
      <c r="K25" s="161"/>
    </row>
    <row r="26" spans="1:11" ht="15.75" customHeight="1" x14ac:dyDescent="0.25">
      <c r="A26" s="94"/>
      <c r="B26" s="92"/>
      <c r="C26" s="93">
        <v>52</v>
      </c>
      <c r="D26" s="93" t="s">
        <v>53</v>
      </c>
      <c r="E26" s="159">
        <f>E12+E15</f>
        <v>3626091.11</v>
      </c>
      <c r="F26" s="159">
        <f t="shared" ref="F26:K26" si="7">F12+F15</f>
        <v>481264.99568650872</v>
      </c>
      <c r="G26" s="159">
        <f t="shared" si="7"/>
        <v>3515000</v>
      </c>
      <c r="H26" s="159">
        <f t="shared" si="7"/>
        <v>466520.6715774106</v>
      </c>
      <c r="I26" s="159">
        <f t="shared" si="7"/>
        <v>504125</v>
      </c>
      <c r="J26" s="159">
        <f t="shared" si="7"/>
        <v>510175</v>
      </c>
      <c r="K26" s="159">
        <f t="shared" si="7"/>
        <v>516575</v>
      </c>
    </row>
    <row r="27" spans="1:11" ht="53.25" customHeight="1" x14ac:dyDescent="0.25">
      <c r="A27" s="99"/>
      <c r="B27" s="100">
        <v>65</v>
      </c>
      <c r="C27" s="101"/>
      <c r="D27" s="102" t="s">
        <v>137</v>
      </c>
      <c r="E27" s="162">
        <f t="shared" ref="E27:K27" si="8">SUM(E28)</f>
        <v>119365</v>
      </c>
      <c r="F27" s="162">
        <f t="shared" si="8"/>
        <v>15842.458026411838</v>
      </c>
      <c r="G27" s="162">
        <f t="shared" si="8"/>
        <v>140000</v>
      </c>
      <c r="H27" s="162">
        <f t="shared" si="8"/>
        <v>18581.193178047648</v>
      </c>
      <c r="I27" s="162">
        <f t="shared" si="8"/>
        <v>20035</v>
      </c>
      <c r="J27" s="162">
        <f t="shared" si="8"/>
        <v>20935</v>
      </c>
      <c r="K27" s="162">
        <f t="shared" si="8"/>
        <v>20935</v>
      </c>
    </row>
    <row r="28" spans="1:11" x14ac:dyDescent="0.25">
      <c r="A28" s="85"/>
      <c r="B28" s="85">
        <v>652</v>
      </c>
      <c r="C28" s="86"/>
      <c r="D28" s="55" t="s">
        <v>136</v>
      </c>
      <c r="E28" s="157">
        <f t="shared" ref="E28:K28" si="9">SUM(E29:E29)</f>
        <v>119365</v>
      </c>
      <c r="F28" s="157">
        <f t="shared" si="9"/>
        <v>15842.458026411838</v>
      </c>
      <c r="G28" s="157">
        <f t="shared" si="9"/>
        <v>140000</v>
      </c>
      <c r="H28" s="157">
        <f t="shared" si="9"/>
        <v>18581.193178047648</v>
      </c>
      <c r="I28" s="157">
        <f t="shared" si="9"/>
        <v>20035</v>
      </c>
      <c r="J28" s="157">
        <f t="shared" si="9"/>
        <v>20935</v>
      </c>
      <c r="K28" s="157">
        <f t="shared" si="9"/>
        <v>20935</v>
      </c>
    </row>
    <row r="29" spans="1:11" x14ac:dyDescent="0.25">
      <c r="A29" s="14"/>
      <c r="B29" s="14">
        <v>6526</v>
      </c>
      <c r="C29" s="15"/>
      <c r="D29" s="98" t="s">
        <v>172</v>
      </c>
      <c r="E29" s="124">
        <v>119365</v>
      </c>
      <c r="F29" s="124">
        <f>E29/7.5345</f>
        <v>15842.458026411838</v>
      </c>
      <c r="G29" s="124">
        <v>140000</v>
      </c>
      <c r="H29" s="124">
        <f>G29/7.5345</f>
        <v>18581.193178047648</v>
      </c>
      <c r="I29" s="124">
        <f>19500+535</f>
        <v>20035</v>
      </c>
      <c r="J29" s="124">
        <v>20935</v>
      </c>
      <c r="K29" s="124">
        <v>20935</v>
      </c>
    </row>
    <row r="30" spans="1:11" x14ac:dyDescent="0.25">
      <c r="A30" s="92"/>
      <c r="B30" s="92"/>
      <c r="C30" s="93">
        <v>11</v>
      </c>
      <c r="D30" s="93" t="s">
        <v>20</v>
      </c>
      <c r="E30" s="159"/>
      <c r="F30" s="159"/>
      <c r="G30" s="160"/>
      <c r="H30" s="160"/>
      <c r="I30" s="160"/>
      <c r="J30" s="160"/>
      <c r="K30" s="160"/>
    </row>
    <row r="31" spans="1:11" x14ac:dyDescent="0.25">
      <c r="A31" s="92"/>
      <c r="B31" s="92"/>
      <c r="C31" s="93">
        <v>31</v>
      </c>
      <c r="D31" s="93" t="s">
        <v>168</v>
      </c>
      <c r="E31" s="159"/>
      <c r="F31" s="159"/>
      <c r="G31" s="160"/>
      <c r="H31" s="160"/>
      <c r="I31" s="160"/>
      <c r="J31" s="160"/>
      <c r="K31" s="160"/>
    </row>
    <row r="32" spans="1:11" x14ac:dyDescent="0.25">
      <c r="A32" s="92"/>
      <c r="B32" s="92"/>
      <c r="C32" s="93">
        <v>44</v>
      </c>
      <c r="D32" s="93" t="s">
        <v>163</v>
      </c>
      <c r="E32" s="159"/>
      <c r="F32" s="159"/>
      <c r="G32" s="160"/>
      <c r="H32" s="160"/>
      <c r="I32" s="160"/>
      <c r="J32" s="160"/>
      <c r="K32" s="160"/>
    </row>
    <row r="33" spans="1:11" x14ac:dyDescent="0.25">
      <c r="A33" s="94"/>
      <c r="B33" s="92"/>
      <c r="C33" s="93">
        <v>51</v>
      </c>
      <c r="D33" s="93" t="s">
        <v>126</v>
      </c>
      <c r="E33" s="159"/>
      <c r="F33" s="159"/>
      <c r="G33" s="160"/>
      <c r="H33" s="160"/>
      <c r="I33" s="160"/>
      <c r="J33" s="160"/>
      <c r="K33" s="161"/>
    </row>
    <row r="34" spans="1:11" x14ac:dyDescent="0.25">
      <c r="A34" s="94"/>
      <c r="B34" s="92"/>
      <c r="C34" s="93">
        <v>43</v>
      </c>
      <c r="D34" s="93" t="s">
        <v>54</v>
      </c>
      <c r="E34" s="159">
        <f>E29</f>
        <v>119365</v>
      </c>
      <c r="F34" s="159">
        <f t="shared" ref="F34:K34" si="10">F29</f>
        <v>15842.458026411838</v>
      </c>
      <c r="G34" s="159">
        <f t="shared" si="10"/>
        <v>140000</v>
      </c>
      <c r="H34" s="159">
        <f t="shared" si="10"/>
        <v>18581.193178047648</v>
      </c>
      <c r="I34" s="159">
        <f t="shared" si="10"/>
        <v>20035</v>
      </c>
      <c r="J34" s="159">
        <f t="shared" si="10"/>
        <v>20935</v>
      </c>
      <c r="K34" s="159">
        <f t="shared" si="10"/>
        <v>20935</v>
      </c>
    </row>
    <row r="35" spans="1:11" x14ac:dyDescent="0.25">
      <c r="A35" s="94"/>
      <c r="B35" s="92"/>
      <c r="C35" s="93">
        <v>52</v>
      </c>
      <c r="D35" s="93" t="s">
        <v>53</v>
      </c>
      <c r="E35" s="159"/>
      <c r="F35" s="159"/>
      <c r="G35" s="160"/>
      <c r="H35" s="160"/>
      <c r="I35" s="160"/>
      <c r="J35" s="160"/>
      <c r="K35" s="161"/>
    </row>
    <row r="36" spans="1:11" ht="44.25" customHeight="1" x14ac:dyDescent="0.25">
      <c r="A36" s="87"/>
      <c r="B36" s="87">
        <v>66</v>
      </c>
      <c r="C36" s="88"/>
      <c r="D36" s="57" t="s">
        <v>138</v>
      </c>
      <c r="E36" s="156">
        <f t="shared" ref="E36:K36" si="11">SUM(E37,E40)</f>
        <v>4890</v>
      </c>
      <c r="F36" s="156">
        <f t="shared" si="11"/>
        <v>649.01453314752132</v>
      </c>
      <c r="G36" s="156">
        <f t="shared" si="11"/>
        <v>4200</v>
      </c>
      <c r="H36" s="156">
        <f t="shared" si="11"/>
        <v>557.43579534142941</v>
      </c>
      <c r="I36" s="156">
        <f t="shared" si="11"/>
        <v>730</v>
      </c>
      <c r="J36" s="156">
        <f t="shared" si="11"/>
        <v>740</v>
      </c>
      <c r="K36" s="156">
        <f t="shared" si="11"/>
        <v>740</v>
      </c>
    </row>
    <row r="37" spans="1:11" ht="38.25" customHeight="1" x14ac:dyDescent="0.25">
      <c r="A37" s="83"/>
      <c r="B37" s="84">
        <v>661</v>
      </c>
      <c r="C37" s="84"/>
      <c r="D37" s="55" t="s">
        <v>139</v>
      </c>
      <c r="E37" s="157">
        <f t="shared" ref="E37:K37" si="12">SUM(E38:E39)</f>
        <v>4890</v>
      </c>
      <c r="F37" s="157">
        <f t="shared" si="12"/>
        <v>649.01453314752132</v>
      </c>
      <c r="G37" s="157">
        <f t="shared" si="12"/>
        <v>4200</v>
      </c>
      <c r="H37" s="157">
        <f t="shared" si="12"/>
        <v>557.43579534142941</v>
      </c>
      <c r="I37" s="157">
        <f t="shared" si="12"/>
        <v>730</v>
      </c>
      <c r="J37" s="157">
        <f t="shared" si="12"/>
        <v>740</v>
      </c>
      <c r="K37" s="157">
        <f t="shared" si="12"/>
        <v>740</v>
      </c>
    </row>
    <row r="38" spans="1:11" ht="15.75" customHeight="1" x14ac:dyDescent="0.25">
      <c r="A38" s="14"/>
      <c r="B38" s="14">
        <v>6614</v>
      </c>
      <c r="C38" s="15"/>
      <c r="D38" s="98" t="s">
        <v>140</v>
      </c>
      <c r="E38" s="124"/>
      <c r="F38" s="124"/>
      <c r="G38" s="124"/>
      <c r="H38" s="124"/>
      <c r="I38" s="124"/>
      <c r="J38" s="124"/>
      <c r="K38" s="124"/>
    </row>
    <row r="39" spans="1:11" x14ac:dyDescent="0.25">
      <c r="A39" s="14"/>
      <c r="B39" s="14">
        <v>6615</v>
      </c>
      <c r="C39" s="15"/>
      <c r="D39" s="98" t="s">
        <v>141</v>
      </c>
      <c r="E39" s="124">
        <v>4890</v>
      </c>
      <c r="F39" s="124">
        <f>E39/7.5345</f>
        <v>649.01453314752132</v>
      </c>
      <c r="G39" s="124">
        <v>4200</v>
      </c>
      <c r="H39" s="124">
        <f>G39/7.5345</f>
        <v>557.43579534142941</v>
      </c>
      <c r="I39" s="124">
        <v>730</v>
      </c>
      <c r="J39" s="124">
        <v>740</v>
      </c>
      <c r="K39" s="124">
        <v>740</v>
      </c>
    </row>
    <row r="40" spans="1:11" ht="25.5" x14ac:dyDescent="0.25">
      <c r="A40" s="85"/>
      <c r="B40" s="85">
        <v>663</v>
      </c>
      <c r="C40" s="86"/>
      <c r="D40" s="55" t="s">
        <v>142</v>
      </c>
      <c r="E40" s="158">
        <f t="shared" ref="E40:K40" si="13">SUM(E41:E42)</f>
        <v>0</v>
      </c>
      <c r="F40" s="158">
        <f t="shared" si="13"/>
        <v>0</v>
      </c>
      <c r="G40" s="158">
        <f t="shared" si="13"/>
        <v>0</v>
      </c>
      <c r="H40" s="158">
        <f t="shared" si="13"/>
        <v>0</v>
      </c>
      <c r="I40" s="158">
        <f t="shared" si="13"/>
        <v>0</v>
      </c>
      <c r="J40" s="158">
        <f t="shared" si="13"/>
        <v>0</v>
      </c>
      <c r="K40" s="158">
        <f t="shared" si="13"/>
        <v>0</v>
      </c>
    </row>
    <row r="41" spans="1:11" x14ac:dyDescent="0.25">
      <c r="A41" s="14"/>
      <c r="B41" s="14">
        <v>6631</v>
      </c>
      <c r="C41" s="15"/>
      <c r="D41" s="98" t="s">
        <v>143</v>
      </c>
      <c r="E41" s="124"/>
      <c r="F41" s="124"/>
      <c r="G41" s="124"/>
      <c r="H41" s="124"/>
      <c r="I41" s="124"/>
      <c r="J41" s="124"/>
      <c r="K41" s="124"/>
    </row>
    <row r="42" spans="1:11" x14ac:dyDescent="0.25">
      <c r="A42" s="14"/>
      <c r="B42" s="14">
        <v>6632</v>
      </c>
      <c r="C42" s="15"/>
      <c r="D42" s="98" t="s">
        <v>144</v>
      </c>
      <c r="E42" s="124"/>
      <c r="F42" s="124"/>
      <c r="G42" s="124"/>
      <c r="H42" s="124"/>
      <c r="I42" s="124"/>
      <c r="J42" s="124"/>
      <c r="K42" s="124"/>
    </row>
    <row r="43" spans="1:11" x14ac:dyDescent="0.25">
      <c r="A43" s="92"/>
      <c r="B43" s="92"/>
      <c r="C43" s="93">
        <v>11</v>
      </c>
      <c r="D43" s="93" t="s">
        <v>20</v>
      </c>
      <c r="E43" s="159"/>
      <c r="F43" s="159"/>
      <c r="G43" s="160"/>
      <c r="H43" s="160"/>
      <c r="I43" s="160"/>
      <c r="J43" s="160"/>
      <c r="K43" s="160"/>
    </row>
    <row r="44" spans="1:11" x14ac:dyDescent="0.25">
      <c r="A44" s="92"/>
      <c r="B44" s="92"/>
      <c r="C44" s="93">
        <v>31</v>
      </c>
      <c r="D44" s="93" t="s">
        <v>168</v>
      </c>
      <c r="E44" s="159">
        <f>E39</f>
        <v>4890</v>
      </c>
      <c r="F44" s="159">
        <f t="shared" ref="F44:K44" si="14">F39</f>
        <v>649.01453314752132</v>
      </c>
      <c r="G44" s="159">
        <f t="shared" si="14"/>
        <v>4200</v>
      </c>
      <c r="H44" s="159">
        <f t="shared" si="14"/>
        <v>557.43579534142941</v>
      </c>
      <c r="I44" s="159">
        <f t="shared" si="14"/>
        <v>730</v>
      </c>
      <c r="J44" s="159">
        <f t="shared" si="14"/>
        <v>740</v>
      </c>
      <c r="K44" s="159">
        <f t="shared" si="14"/>
        <v>740</v>
      </c>
    </row>
    <row r="45" spans="1:11" x14ac:dyDescent="0.25">
      <c r="A45" s="92"/>
      <c r="B45" s="92"/>
      <c r="C45" s="93">
        <v>44</v>
      </c>
      <c r="D45" s="93" t="s">
        <v>163</v>
      </c>
      <c r="E45" s="159"/>
      <c r="F45" s="159"/>
      <c r="G45" s="160"/>
      <c r="H45" s="160"/>
      <c r="I45" s="160"/>
      <c r="J45" s="160"/>
      <c r="K45" s="160"/>
    </row>
    <row r="46" spans="1:11" x14ac:dyDescent="0.25">
      <c r="A46" s="94"/>
      <c r="B46" s="92"/>
      <c r="C46" s="93">
        <v>51</v>
      </c>
      <c r="D46" s="93" t="s">
        <v>126</v>
      </c>
      <c r="E46" s="159"/>
      <c r="F46" s="159"/>
      <c r="G46" s="160"/>
      <c r="H46" s="160"/>
      <c r="I46" s="160"/>
      <c r="J46" s="160"/>
      <c r="K46" s="161"/>
    </row>
    <row r="47" spans="1:11" x14ac:dyDescent="0.25">
      <c r="A47" s="94"/>
      <c r="B47" s="92"/>
      <c r="C47" s="93">
        <v>43</v>
      </c>
      <c r="D47" s="93" t="s">
        <v>54</v>
      </c>
      <c r="E47" s="159"/>
      <c r="F47" s="159"/>
      <c r="G47" s="160"/>
      <c r="H47" s="160"/>
      <c r="I47" s="160"/>
      <c r="J47" s="160"/>
      <c r="K47" s="161"/>
    </row>
    <row r="48" spans="1:11" x14ac:dyDescent="0.25">
      <c r="A48" s="94"/>
      <c r="B48" s="92"/>
      <c r="C48" s="93">
        <v>52</v>
      </c>
      <c r="D48" s="93" t="s">
        <v>53</v>
      </c>
      <c r="E48" s="159"/>
      <c r="F48" s="159"/>
      <c r="G48" s="160"/>
      <c r="H48" s="160"/>
      <c r="I48" s="160"/>
      <c r="J48" s="160"/>
      <c r="K48" s="161"/>
    </row>
    <row r="49" spans="1:11" ht="24.75" customHeight="1" x14ac:dyDescent="0.25">
      <c r="A49" s="103"/>
      <c r="B49" s="100">
        <v>67</v>
      </c>
      <c r="C49" s="101"/>
      <c r="D49" s="104" t="s">
        <v>145</v>
      </c>
      <c r="E49" s="122">
        <f t="shared" ref="E49:K49" si="15">SUM(E50)</f>
        <v>235768</v>
      </c>
      <c r="F49" s="122">
        <f t="shared" si="15"/>
        <v>31291.791094299555</v>
      </c>
      <c r="G49" s="122">
        <f t="shared" si="15"/>
        <v>295400</v>
      </c>
      <c r="H49" s="122">
        <f t="shared" si="15"/>
        <v>39206.317605680531</v>
      </c>
      <c r="I49" s="122">
        <f t="shared" si="15"/>
        <v>33000</v>
      </c>
      <c r="J49" s="122">
        <f t="shared" si="15"/>
        <v>35407</v>
      </c>
      <c r="K49" s="122">
        <f t="shared" si="15"/>
        <v>35520</v>
      </c>
    </row>
    <row r="50" spans="1:11" ht="38.25" x14ac:dyDescent="0.25">
      <c r="A50" s="85"/>
      <c r="B50" s="85">
        <v>671</v>
      </c>
      <c r="C50" s="86"/>
      <c r="D50" s="55" t="s">
        <v>146</v>
      </c>
      <c r="E50" s="157">
        <f t="shared" ref="E50:K50" si="16">SUM(E51:E52)</f>
        <v>235768</v>
      </c>
      <c r="F50" s="157">
        <f t="shared" si="16"/>
        <v>31291.791094299555</v>
      </c>
      <c r="G50" s="157">
        <f t="shared" si="16"/>
        <v>295400</v>
      </c>
      <c r="H50" s="157">
        <f t="shared" si="16"/>
        <v>39206.317605680531</v>
      </c>
      <c r="I50" s="157">
        <f t="shared" si="16"/>
        <v>33000</v>
      </c>
      <c r="J50" s="157">
        <f t="shared" si="16"/>
        <v>35407</v>
      </c>
      <c r="K50" s="157">
        <f t="shared" si="16"/>
        <v>35520</v>
      </c>
    </row>
    <row r="51" spans="1:11" ht="38.25" x14ac:dyDescent="0.25">
      <c r="A51" s="14"/>
      <c r="B51" s="14">
        <v>6711</v>
      </c>
      <c r="C51" s="15"/>
      <c r="D51" s="98" t="s">
        <v>147</v>
      </c>
      <c r="E51" s="124">
        <v>235768</v>
      </c>
      <c r="F51" s="124">
        <f>E51/7.5345</f>
        <v>31291.791094299555</v>
      </c>
      <c r="G51" s="124">
        <v>295400</v>
      </c>
      <c r="H51" s="124">
        <f>G51/7.5345</f>
        <v>39206.317605680531</v>
      </c>
      <c r="I51" s="124">
        <v>33000</v>
      </c>
      <c r="J51" s="124">
        <f>34888+519</f>
        <v>35407</v>
      </c>
      <c r="K51" s="124">
        <f>35002+518</f>
        <v>35520</v>
      </c>
    </row>
    <row r="52" spans="1:11" ht="38.25" x14ac:dyDescent="0.25">
      <c r="A52" s="14"/>
      <c r="B52" s="14">
        <v>6712</v>
      </c>
      <c r="C52" s="15"/>
      <c r="D52" s="98" t="s">
        <v>148</v>
      </c>
      <c r="E52" s="124"/>
      <c r="F52" s="124"/>
      <c r="G52" s="124"/>
      <c r="H52" s="124"/>
      <c r="I52" s="124"/>
      <c r="J52" s="124"/>
      <c r="K52" s="124"/>
    </row>
    <row r="53" spans="1:11" x14ac:dyDescent="0.25">
      <c r="A53" s="92"/>
      <c r="B53" s="92"/>
      <c r="C53" s="93">
        <v>11</v>
      </c>
      <c r="D53" s="93" t="s">
        <v>20</v>
      </c>
      <c r="E53" s="159"/>
      <c r="F53" s="159"/>
      <c r="G53" s="160"/>
      <c r="H53" s="160"/>
      <c r="I53" s="160"/>
      <c r="J53" s="160"/>
      <c r="K53" s="160"/>
    </row>
    <row r="54" spans="1:11" x14ac:dyDescent="0.25">
      <c r="A54" s="92"/>
      <c r="B54" s="92"/>
      <c r="C54" s="93">
        <v>31</v>
      </c>
      <c r="D54" s="93" t="s">
        <v>168</v>
      </c>
      <c r="E54" s="159"/>
      <c r="F54" s="159"/>
      <c r="G54" s="160"/>
      <c r="H54" s="160"/>
      <c r="I54" s="160"/>
      <c r="J54" s="160"/>
      <c r="K54" s="160"/>
    </row>
    <row r="55" spans="1:11" x14ac:dyDescent="0.25">
      <c r="A55" s="92"/>
      <c r="B55" s="92"/>
      <c r="C55" s="93">
        <v>44</v>
      </c>
      <c r="D55" s="93" t="s">
        <v>163</v>
      </c>
      <c r="E55" s="159">
        <f>E51</f>
        <v>235768</v>
      </c>
      <c r="F55" s="159">
        <f t="shared" ref="F55:K55" si="17">F51</f>
        <v>31291.791094299555</v>
      </c>
      <c r="G55" s="159">
        <f t="shared" si="17"/>
        <v>295400</v>
      </c>
      <c r="H55" s="159">
        <f t="shared" si="17"/>
        <v>39206.317605680531</v>
      </c>
      <c r="I55" s="159">
        <f t="shared" si="17"/>
        <v>33000</v>
      </c>
      <c r="J55" s="159">
        <f t="shared" si="17"/>
        <v>35407</v>
      </c>
      <c r="K55" s="159">
        <f t="shared" si="17"/>
        <v>35520</v>
      </c>
    </row>
    <row r="56" spans="1:11" x14ac:dyDescent="0.25">
      <c r="A56" s="94"/>
      <c r="B56" s="92"/>
      <c r="C56" s="93">
        <v>51</v>
      </c>
      <c r="D56" s="93" t="s">
        <v>126</v>
      </c>
      <c r="E56" s="159"/>
      <c r="F56" s="159"/>
      <c r="G56" s="160"/>
      <c r="H56" s="160"/>
      <c r="I56" s="160"/>
      <c r="J56" s="160"/>
      <c r="K56" s="161"/>
    </row>
    <row r="57" spans="1:11" x14ac:dyDescent="0.25">
      <c r="A57" s="94"/>
      <c r="B57" s="92"/>
      <c r="C57" s="93">
        <v>43</v>
      </c>
      <c r="D57" s="93" t="s">
        <v>54</v>
      </c>
      <c r="E57" s="159"/>
      <c r="F57" s="159"/>
      <c r="G57" s="160"/>
      <c r="H57" s="160"/>
      <c r="I57" s="160"/>
      <c r="J57" s="160"/>
      <c r="K57" s="161"/>
    </row>
    <row r="58" spans="1:11" x14ac:dyDescent="0.25">
      <c r="A58" s="94"/>
      <c r="B58" s="92"/>
      <c r="C58" s="93">
        <v>52</v>
      </c>
      <c r="D58" s="93" t="s">
        <v>53</v>
      </c>
      <c r="E58" s="160"/>
      <c r="F58" s="160"/>
      <c r="G58" s="160"/>
      <c r="H58" s="160"/>
      <c r="I58" s="160"/>
      <c r="J58" s="160"/>
      <c r="K58" s="161"/>
    </row>
    <row r="59" spans="1:11" s="105" customFormat="1" x14ac:dyDescent="0.25">
      <c r="A59" s="163"/>
      <c r="B59" s="164" t="s">
        <v>149</v>
      </c>
      <c r="C59" s="165"/>
      <c r="D59" s="165"/>
      <c r="E59" s="166">
        <f t="shared" ref="E59:K59" si="18">SUM(E11+E27+E36+E49)</f>
        <v>3998909.11</v>
      </c>
      <c r="F59" s="166">
        <f t="shared" si="18"/>
        <v>530746.44767403277</v>
      </c>
      <c r="G59" s="166">
        <f t="shared" si="18"/>
        <v>3967600</v>
      </c>
      <c r="H59" s="166">
        <f t="shared" si="18"/>
        <v>526591.01466587035</v>
      </c>
      <c r="I59" s="166">
        <f t="shared" si="18"/>
        <v>558890</v>
      </c>
      <c r="J59" s="166">
        <f t="shared" si="18"/>
        <v>568257</v>
      </c>
      <c r="K59" s="166">
        <f t="shared" si="18"/>
        <v>574770</v>
      </c>
    </row>
    <row r="60" spans="1:11" s="105" customFormat="1" x14ac:dyDescent="0.25">
      <c r="A60" s="168"/>
      <c r="B60" s="169"/>
      <c r="C60" s="170"/>
      <c r="D60" s="170"/>
      <c r="E60" s="171"/>
      <c r="F60" s="171"/>
      <c r="G60" s="171"/>
      <c r="H60" s="171"/>
      <c r="I60" s="171"/>
      <c r="J60" s="171"/>
      <c r="K60" s="171"/>
    </row>
    <row r="61" spans="1:11" s="105" customFormat="1" x14ac:dyDescent="0.25">
      <c r="A61" s="168"/>
      <c r="B61" s="169"/>
      <c r="C61" s="170"/>
      <c r="D61" s="170"/>
      <c r="E61" s="171"/>
      <c r="F61" s="171"/>
      <c r="G61" s="171"/>
      <c r="H61" s="171"/>
      <c r="I61" s="171"/>
      <c r="J61" s="171"/>
      <c r="K61" s="171"/>
    </row>
    <row r="62" spans="1:11" s="105" customFormat="1" x14ac:dyDescent="0.25">
      <c r="A62" s="168"/>
      <c r="B62" s="169"/>
      <c r="C62" s="170"/>
      <c r="D62" s="170"/>
      <c r="E62" s="171"/>
      <c r="F62" s="171"/>
      <c r="G62" s="171"/>
      <c r="H62" s="171"/>
      <c r="I62" s="171"/>
      <c r="J62" s="171"/>
      <c r="K62" s="171"/>
    </row>
    <row r="64" spans="1:11" x14ac:dyDescent="0.25">
      <c r="A64" s="199" t="s">
        <v>21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</row>
    <row r="65" spans="1:11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6"/>
      <c r="K65" s="6"/>
    </row>
    <row r="66" spans="1:11" ht="25.5" x14ac:dyDescent="0.25">
      <c r="A66" s="25" t="s">
        <v>16</v>
      </c>
      <c r="B66" s="24" t="s">
        <v>17</v>
      </c>
      <c r="C66" s="24" t="s">
        <v>18</v>
      </c>
      <c r="D66" s="24" t="s">
        <v>22</v>
      </c>
      <c r="E66" s="24" t="s">
        <v>12</v>
      </c>
      <c r="F66" s="24" t="s">
        <v>12</v>
      </c>
      <c r="G66" s="25" t="s">
        <v>13</v>
      </c>
      <c r="H66" s="25" t="s">
        <v>13</v>
      </c>
      <c r="I66" s="25" t="s">
        <v>49</v>
      </c>
      <c r="J66" s="25" t="s">
        <v>50</v>
      </c>
      <c r="K66" s="25" t="s">
        <v>51</v>
      </c>
    </row>
    <row r="67" spans="1:11" x14ac:dyDescent="0.25">
      <c r="A67" s="95">
        <v>3</v>
      </c>
      <c r="B67" s="95"/>
      <c r="C67" s="95"/>
      <c r="D67" s="126" t="s">
        <v>23</v>
      </c>
      <c r="E67" s="108">
        <f>SUM(E68+E84+E124+E134)</f>
        <v>3935964.8899999997</v>
      </c>
      <c r="F67" s="108">
        <f t="shared" ref="F67:K67" si="19">SUM(F68+F84+F124+F134)</f>
        <v>522392.30087265244</v>
      </c>
      <c r="G67" s="108">
        <f t="shared" si="19"/>
        <v>3801600</v>
      </c>
      <c r="H67" s="108">
        <f t="shared" si="19"/>
        <v>521282.1155683854</v>
      </c>
      <c r="I67" s="108">
        <f>SUM(I68+I84+I124+I134)</f>
        <v>556598</v>
      </c>
      <c r="J67" s="108">
        <f t="shared" si="19"/>
        <v>563772.5</v>
      </c>
      <c r="K67" s="108">
        <f t="shared" si="19"/>
        <v>570235.5</v>
      </c>
    </row>
    <row r="68" spans="1:11" x14ac:dyDescent="0.25">
      <c r="A68" s="87"/>
      <c r="B68" s="88">
        <v>31</v>
      </c>
      <c r="C68" s="88"/>
      <c r="D68" s="57" t="s">
        <v>24</v>
      </c>
      <c r="E68" s="136">
        <f>SUM(E69,E73,E75)</f>
        <v>3356669.7199999997</v>
      </c>
      <c r="F68" s="136">
        <f>SUM(F69,F73,F75)</f>
        <v>445506.63215873647</v>
      </c>
      <c r="G68" s="136">
        <f t="shared" ref="G68" si="20">SUM(G69,G73,G75)</f>
        <v>3347600</v>
      </c>
      <c r="H68" s="136">
        <f t="shared" ref="H68:K68" si="21">SUM(H69,H73,H75)</f>
        <v>444302.87344880216</v>
      </c>
      <c r="I68" s="136">
        <f t="shared" si="21"/>
        <v>462775</v>
      </c>
      <c r="J68" s="136">
        <f t="shared" si="21"/>
        <v>468274.5</v>
      </c>
      <c r="K68" s="136">
        <f t="shared" si="21"/>
        <v>474273.5</v>
      </c>
    </row>
    <row r="69" spans="1:11" x14ac:dyDescent="0.25">
      <c r="A69" s="83"/>
      <c r="B69" s="84">
        <v>311</v>
      </c>
      <c r="C69" s="84"/>
      <c r="D69" s="55" t="s">
        <v>60</v>
      </c>
      <c r="E69" s="127">
        <f>SUM(E70:E72)</f>
        <v>2788987</v>
      </c>
      <c r="F69" s="127">
        <f>SUM(F70:F72)</f>
        <v>370162.18727188266</v>
      </c>
      <c r="G69" s="127">
        <f t="shared" ref="G69" si="22">SUM(G70:G72)</f>
        <v>2784990</v>
      </c>
      <c r="H69" s="127">
        <f t="shared" ref="H69:K69" si="23">SUM(H70:H72)</f>
        <v>369631.69420664938</v>
      </c>
      <c r="I69" s="127">
        <f t="shared" si="23"/>
        <v>386094</v>
      </c>
      <c r="J69" s="127">
        <f t="shared" si="23"/>
        <v>391094</v>
      </c>
      <c r="K69" s="127">
        <f t="shared" si="23"/>
        <v>396093</v>
      </c>
    </row>
    <row r="70" spans="1:11" x14ac:dyDescent="0.25">
      <c r="A70" s="14"/>
      <c r="B70" s="14">
        <v>3111</v>
      </c>
      <c r="C70" s="15"/>
      <c r="D70" s="111" t="s">
        <v>72</v>
      </c>
      <c r="E70" s="107">
        <f>8240+129+2780618</f>
        <v>2788987</v>
      </c>
      <c r="F70" s="107">
        <f>E70/7.5345</f>
        <v>370162.18727188266</v>
      </c>
      <c r="G70" s="128">
        <f>2776750+8240</f>
        <v>2784990</v>
      </c>
      <c r="H70" s="107">
        <f>G70/7.5345</f>
        <v>369631.69420664938</v>
      </c>
      <c r="I70" s="128">
        <f>1094+385000</f>
        <v>386094</v>
      </c>
      <c r="J70" s="128">
        <v>391094</v>
      </c>
      <c r="K70" s="128">
        <f>395000+1093</f>
        <v>396093</v>
      </c>
    </row>
    <row r="71" spans="1:11" x14ac:dyDescent="0.25">
      <c r="A71" s="14"/>
      <c r="B71" s="14">
        <v>3113</v>
      </c>
      <c r="C71" s="15"/>
      <c r="D71" s="111" t="s">
        <v>73</v>
      </c>
      <c r="E71" s="107"/>
      <c r="F71" s="107"/>
      <c r="G71" s="128"/>
      <c r="H71" s="128"/>
      <c r="I71" s="128"/>
      <c r="J71" s="128"/>
      <c r="K71" s="128"/>
    </row>
    <row r="72" spans="1:11" x14ac:dyDescent="0.25">
      <c r="A72" s="14"/>
      <c r="B72" s="14">
        <v>3114</v>
      </c>
      <c r="C72" s="15"/>
      <c r="D72" s="111" t="s">
        <v>74</v>
      </c>
      <c r="E72" s="107"/>
      <c r="F72" s="107"/>
      <c r="G72" s="128"/>
      <c r="H72" s="128"/>
      <c r="I72" s="128"/>
      <c r="J72" s="128"/>
      <c r="K72" s="128"/>
    </row>
    <row r="73" spans="1:11" x14ac:dyDescent="0.25">
      <c r="A73" s="85"/>
      <c r="B73" s="85">
        <v>312</v>
      </c>
      <c r="C73" s="86"/>
      <c r="D73" s="55" t="s">
        <v>75</v>
      </c>
      <c r="E73" s="129">
        <f>E74</f>
        <v>107500</v>
      </c>
      <c r="F73" s="129">
        <f>F74</f>
        <v>14267.701904572299</v>
      </c>
      <c r="G73" s="129">
        <f t="shared" ref="G73:K73" si="24">G74</f>
        <v>110000</v>
      </c>
      <c r="H73" s="129">
        <f t="shared" si="24"/>
        <v>14599.508925608865</v>
      </c>
      <c r="I73" s="129">
        <f t="shared" si="24"/>
        <v>15500</v>
      </c>
      <c r="J73" s="129">
        <f t="shared" si="24"/>
        <v>15500</v>
      </c>
      <c r="K73" s="129">
        <f t="shared" si="24"/>
        <v>16000</v>
      </c>
    </row>
    <row r="74" spans="1:11" x14ac:dyDescent="0.25">
      <c r="A74" s="14"/>
      <c r="B74" s="14">
        <v>3121</v>
      </c>
      <c r="C74" s="15"/>
      <c r="D74" s="111" t="s">
        <v>76</v>
      </c>
      <c r="E74" s="107">
        <f>107500</f>
        <v>107500</v>
      </c>
      <c r="F74" s="107">
        <f>E74/7.5345</f>
        <v>14267.701904572299</v>
      </c>
      <c r="G74" s="128">
        <v>110000</v>
      </c>
      <c r="H74" s="107">
        <f>G74/7.5345</f>
        <v>14599.508925608865</v>
      </c>
      <c r="I74" s="128">
        <v>15500</v>
      </c>
      <c r="J74" s="128">
        <v>15500</v>
      </c>
      <c r="K74" s="128">
        <v>16000</v>
      </c>
    </row>
    <row r="75" spans="1:11" x14ac:dyDescent="0.25">
      <c r="A75" s="85"/>
      <c r="B75" s="85">
        <v>313</v>
      </c>
      <c r="C75" s="86"/>
      <c r="D75" s="55" t="s">
        <v>61</v>
      </c>
      <c r="E75" s="127">
        <f>SUM(E76:E77)</f>
        <v>460182.72</v>
      </c>
      <c r="F75" s="127">
        <f>SUM(F76:F77)</f>
        <v>61076.742982281496</v>
      </c>
      <c r="G75" s="127">
        <f t="shared" ref="G75" si="25">SUM(G76:G77)</f>
        <v>452610</v>
      </c>
      <c r="H75" s="127">
        <f t="shared" ref="H75:K75" si="26">SUM(H76:H77)</f>
        <v>60071.670316543896</v>
      </c>
      <c r="I75" s="127">
        <f t="shared" si="26"/>
        <v>61181</v>
      </c>
      <c r="J75" s="127">
        <f t="shared" si="26"/>
        <v>61680.5</v>
      </c>
      <c r="K75" s="127">
        <f t="shared" si="26"/>
        <v>62180.5</v>
      </c>
    </row>
    <row r="76" spans="1:11" ht="25.5" x14ac:dyDescent="0.25">
      <c r="A76" s="14"/>
      <c r="B76" s="14">
        <v>3131</v>
      </c>
      <c r="C76" s="15"/>
      <c r="D76" s="111" t="s">
        <v>77</v>
      </c>
      <c r="E76" s="107"/>
      <c r="F76" s="107"/>
      <c r="G76" s="128"/>
      <c r="H76" s="128"/>
      <c r="I76" s="128"/>
      <c r="J76" s="128"/>
      <c r="K76" s="128"/>
    </row>
    <row r="77" spans="1:11" ht="25.5" x14ac:dyDescent="0.25">
      <c r="A77" s="14"/>
      <c r="B77" s="14">
        <v>3132</v>
      </c>
      <c r="C77" s="15"/>
      <c r="D77" s="111" t="s">
        <v>78</v>
      </c>
      <c r="E77" s="107">
        <f>458801.72+21+1360</f>
        <v>460182.72</v>
      </c>
      <c r="F77" s="107">
        <f>E77/7.5345</f>
        <v>61076.742982281496</v>
      </c>
      <c r="G77" s="128">
        <f>451250+1360</f>
        <v>452610</v>
      </c>
      <c r="H77" s="107">
        <f>G77/7.5345</f>
        <v>60071.670316543896</v>
      </c>
      <c r="I77" s="128">
        <v>61181</v>
      </c>
      <c r="J77" s="128">
        <f>61500+180.5</f>
        <v>61680.5</v>
      </c>
      <c r="K77" s="128">
        <f>62180.5</f>
        <v>62180.5</v>
      </c>
    </row>
    <row r="78" spans="1:11" x14ac:dyDescent="0.25">
      <c r="A78" s="92"/>
      <c r="B78" s="92"/>
      <c r="C78" s="93">
        <v>11</v>
      </c>
      <c r="D78" s="93" t="s">
        <v>20</v>
      </c>
      <c r="E78" s="130">
        <v>9600</v>
      </c>
      <c r="F78" s="130">
        <v>1275</v>
      </c>
      <c r="G78" s="130">
        <v>9600</v>
      </c>
      <c r="H78" s="130">
        <v>1275</v>
      </c>
      <c r="I78" s="131">
        <v>1275</v>
      </c>
      <c r="J78" s="131">
        <v>1275</v>
      </c>
      <c r="K78" s="131">
        <v>1275</v>
      </c>
    </row>
    <row r="79" spans="1:11" x14ac:dyDescent="0.25">
      <c r="A79" s="92"/>
      <c r="B79" s="92"/>
      <c r="C79" s="93">
        <v>31</v>
      </c>
      <c r="D79" s="93" t="s">
        <v>168</v>
      </c>
      <c r="E79" s="130"/>
      <c r="F79" s="130"/>
      <c r="G79" s="131"/>
      <c r="H79" s="131"/>
      <c r="I79" s="131"/>
      <c r="J79" s="131"/>
      <c r="K79" s="131"/>
    </row>
    <row r="80" spans="1:11" x14ac:dyDescent="0.25">
      <c r="A80" s="92"/>
      <c r="B80" s="92"/>
      <c r="C80" s="93">
        <v>44</v>
      </c>
      <c r="D80" s="93" t="s">
        <v>163</v>
      </c>
      <c r="E80" s="130"/>
      <c r="F80" s="130"/>
      <c r="G80" s="131"/>
      <c r="H80" s="131"/>
      <c r="I80" s="131"/>
      <c r="J80" s="131"/>
      <c r="K80" s="131"/>
    </row>
    <row r="81" spans="1:11" x14ac:dyDescent="0.25">
      <c r="A81" s="94"/>
      <c r="B81" s="92"/>
      <c r="C81" s="93">
        <v>51</v>
      </c>
      <c r="D81" s="93" t="s">
        <v>126</v>
      </c>
      <c r="E81" s="130"/>
      <c r="F81" s="130"/>
      <c r="G81" s="131"/>
      <c r="H81" s="131"/>
      <c r="I81" s="131"/>
      <c r="J81" s="131"/>
      <c r="K81" s="132"/>
    </row>
    <row r="82" spans="1:11" x14ac:dyDescent="0.25">
      <c r="A82" s="94"/>
      <c r="B82" s="92"/>
      <c r="C82" s="93">
        <v>43</v>
      </c>
      <c r="D82" s="93" t="s">
        <v>54</v>
      </c>
      <c r="E82" s="130">
        <v>150</v>
      </c>
      <c r="F82" s="130">
        <v>19.899999999999999</v>
      </c>
      <c r="G82" s="131"/>
      <c r="H82" s="131"/>
      <c r="I82" s="131"/>
      <c r="J82" s="131"/>
      <c r="K82" s="132"/>
    </row>
    <row r="83" spans="1:11" x14ac:dyDescent="0.25">
      <c r="A83" s="94"/>
      <c r="B83" s="92"/>
      <c r="C83" s="93">
        <v>52</v>
      </c>
      <c r="D83" s="93" t="s">
        <v>53</v>
      </c>
      <c r="E83" s="130">
        <v>3346919</v>
      </c>
      <c r="F83" s="130">
        <v>369051</v>
      </c>
      <c r="G83" s="131">
        <v>3338000</v>
      </c>
      <c r="H83" s="131">
        <v>443028</v>
      </c>
      <c r="I83" s="131">
        <v>461500</v>
      </c>
      <c r="J83" s="131">
        <v>467000</v>
      </c>
      <c r="K83" s="132">
        <v>473000</v>
      </c>
    </row>
    <row r="84" spans="1:11" x14ac:dyDescent="0.25">
      <c r="A84" s="89"/>
      <c r="B84" s="90">
        <v>32</v>
      </c>
      <c r="C84" s="91"/>
      <c r="D84" s="57" t="s">
        <v>35</v>
      </c>
      <c r="E84" s="136">
        <f>SUM(E85,E90,E98,E108,E110)</f>
        <v>544256.88</v>
      </c>
      <c r="F84" s="136">
        <f>SUM(F85,F90,F98,F108,F110)</f>
        <v>72235.278713915977</v>
      </c>
      <c r="G84" s="136">
        <f t="shared" ref="G84" si="27">SUM(G85,G90,G98,G108,G110)</f>
        <v>452500</v>
      </c>
      <c r="H84" s="136">
        <f t="shared" ref="H84:K84" si="28">SUM(H85,H90,H98,H108,H110)</f>
        <v>76780.162119583241</v>
      </c>
      <c r="I84" s="136">
        <f t="shared" si="28"/>
        <v>89413</v>
      </c>
      <c r="J84" s="136">
        <f t="shared" si="28"/>
        <v>91028</v>
      </c>
      <c r="K84" s="136">
        <f t="shared" si="28"/>
        <v>91442</v>
      </c>
    </row>
    <row r="85" spans="1:11" x14ac:dyDescent="0.25">
      <c r="A85" s="77"/>
      <c r="B85" s="78">
        <v>321</v>
      </c>
      <c r="C85" s="76"/>
      <c r="D85" s="55" t="s">
        <v>62</v>
      </c>
      <c r="E85" s="127">
        <f t="shared" ref="E85:K85" si="29">SUM(E86:E89)</f>
        <v>155581.5</v>
      </c>
      <c r="F85" s="127">
        <f t="shared" si="29"/>
        <v>20649.21</v>
      </c>
      <c r="G85" s="127">
        <f t="shared" si="29"/>
        <v>46500</v>
      </c>
      <c r="H85" s="127">
        <f t="shared" si="29"/>
        <v>22894.689999999995</v>
      </c>
      <c r="I85" s="127">
        <f t="shared" si="29"/>
        <v>21750</v>
      </c>
      <c r="J85" s="127">
        <f t="shared" si="29"/>
        <v>22355</v>
      </c>
      <c r="K85" s="133">
        <f t="shared" si="29"/>
        <v>22755</v>
      </c>
    </row>
    <row r="86" spans="1:11" x14ac:dyDescent="0.25">
      <c r="A86" s="73"/>
      <c r="B86" s="18">
        <v>3211</v>
      </c>
      <c r="C86" s="15"/>
      <c r="D86" s="111" t="s">
        <v>79</v>
      </c>
      <c r="E86" s="128">
        <f>9378+800</f>
        <v>10178</v>
      </c>
      <c r="F86" s="128">
        <f>106.18+1244.67</f>
        <v>1350.8500000000001</v>
      </c>
      <c r="G86" s="128">
        <v>20000</v>
      </c>
      <c r="H86" s="128">
        <f>265.45+2389.01</f>
        <v>2654.46</v>
      </c>
      <c r="I86" s="128">
        <v>1530</v>
      </c>
      <c r="J86" s="128">
        <v>1730</v>
      </c>
      <c r="K86" s="134">
        <v>1930</v>
      </c>
    </row>
    <row r="87" spans="1:11" ht="25.5" x14ac:dyDescent="0.25">
      <c r="A87" s="73"/>
      <c r="B87" s="14">
        <v>3212</v>
      </c>
      <c r="C87" s="15"/>
      <c r="D87" s="111" t="s">
        <v>80</v>
      </c>
      <c r="E87" s="128">
        <v>131606</v>
      </c>
      <c r="F87" s="128">
        <v>17467.12</v>
      </c>
      <c r="G87" s="128">
        <v>14000</v>
      </c>
      <c r="H87" s="128">
        <v>18581.189999999999</v>
      </c>
      <c r="I87" s="128">
        <v>18600</v>
      </c>
      <c r="J87" s="128">
        <v>19000</v>
      </c>
      <c r="K87" s="134">
        <v>19200</v>
      </c>
    </row>
    <row r="88" spans="1:11" x14ac:dyDescent="0.25">
      <c r="A88" s="73"/>
      <c r="B88" s="14">
        <v>3213</v>
      </c>
      <c r="C88" s="15"/>
      <c r="D88" s="111" t="s">
        <v>81</v>
      </c>
      <c r="E88" s="128">
        <v>5537.5</v>
      </c>
      <c r="F88" s="128">
        <v>734.95</v>
      </c>
      <c r="G88" s="128">
        <v>3500</v>
      </c>
      <c r="H88" s="128">
        <v>464.53</v>
      </c>
      <c r="I88" s="128">
        <v>220</v>
      </c>
      <c r="J88" s="128">
        <v>225</v>
      </c>
      <c r="K88" s="134">
        <v>225</v>
      </c>
    </row>
    <row r="89" spans="1:11" ht="25.5" x14ac:dyDescent="0.25">
      <c r="A89" s="73"/>
      <c r="B89" s="14">
        <v>3214</v>
      </c>
      <c r="C89" s="15"/>
      <c r="D89" s="111" t="s">
        <v>82</v>
      </c>
      <c r="E89" s="128">
        <v>8260</v>
      </c>
      <c r="F89" s="128">
        <v>1096.29</v>
      </c>
      <c r="G89" s="128">
        <v>9000</v>
      </c>
      <c r="H89" s="128">
        <v>1194.51</v>
      </c>
      <c r="I89" s="128">
        <v>1400</v>
      </c>
      <c r="J89" s="128">
        <v>1400</v>
      </c>
      <c r="K89" s="134">
        <v>1400</v>
      </c>
    </row>
    <row r="90" spans="1:11" x14ac:dyDescent="0.25">
      <c r="A90" s="137"/>
      <c r="B90" s="75">
        <v>322</v>
      </c>
      <c r="C90" s="76"/>
      <c r="D90" s="55" t="s">
        <v>63</v>
      </c>
      <c r="E90" s="138">
        <f t="shared" ref="E90:K90" si="30">SUM(E91:E97)</f>
        <v>237191.05000000002</v>
      </c>
      <c r="F90" s="138">
        <f t="shared" si="30"/>
        <v>31480.658713915982</v>
      </c>
      <c r="G90" s="138">
        <f t="shared" si="30"/>
        <v>264400</v>
      </c>
      <c r="H90" s="138">
        <f t="shared" si="30"/>
        <v>35091.912119583241</v>
      </c>
      <c r="I90" s="138">
        <f t="shared" si="30"/>
        <v>45160</v>
      </c>
      <c r="J90" s="138">
        <f t="shared" si="30"/>
        <v>45691</v>
      </c>
      <c r="K90" s="138">
        <f t="shared" si="30"/>
        <v>45640</v>
      </c>
    </row>
    <row r="91" spans="1:11" ht="25.5" x14ac:dyDescent="0.25">
      <c r="A91" s="139"/>
      <c r="B91" s="14">
        <v>3221</v>
      </c>
      <c r="C91" s="15"/>
      <c r="D91" s="111" t="s">
        <v>83</v>
      </c>
      <c r="E91" s="140">
        <v>34478.67</v>
      </c>
      <c r="F91" s="140">
        <f>E91/7.5345</f>
        <v>4576.1059128011148</v>
      </c>
      <c r="G91" s="140">
        <v>37000</v>
      </c>
      <c r="H91" s="140">
        <f>G91/7.5345</f>
        <v>4910.7439113411638</v>
      </c>
      <c r="I91" s="140">
        <v>4650</v>
      </c>
      <c r="J91" s="140">
        <v>4775</v>
      </c>
      <c r="K91" s="140">
        <v>4761</v>
      </c>
    </row>
    <row r="92" spans="1:11" x14ac:dyDescent="0.25">
      <c r="A92" s="141"/>
      <c r="B92" s="14">
        <v>3222</v>
      </c>
      <c r="C92" s="15"/>
      <c r="D92" s="111" t="s">
        <v>84</v>
      </c>
      <c r="E92" s="140">
        <f>2890+72528+12795</f>
        <v>88213</v>
      </c>
      <c r="F92" s="140">
        <f>E92/7.5345</f>
        <v>11707.877098679408</v>
      </c>
      <c r="G92" s="140">
        <f>3000+99300+8000</f>
        <v>110300</v>
      </c>
      <c r="H92" s="140">
        <f>G92/7.5345</f>
        <v>14639.325768133252</v>
      </c>
      <c r="I92" s="140">
        <f>230+13200+1000+13000</f>
        <v>27430</v>
      </c>
      <c r="J92" s="140">
        <f>230+13250+1000+13000</f>
        <v>27480</v>
      </c>
      <c r="K92" s="140">
        <f>230+13250+1000+13000</f>
        <v>27480</v>
      </c>
    </row>
    <row r="93" spans="1:11" x14ac:dyDescent="0.25">
      <c r="A93" s="141"/>
      <c r="B93" s="74">
        <v>3223</v>
      </c>
      <c r="C93" s="17"/>
      <c r="D93" s="111" t="s">
        <v>85</v>
      </c>
      <c r="E93" s="140">
        <v>71125.53</v>
      </c>
      <c r="F93" s="140">
        <f>E93/7.5345</f>
        <v>9439.9800915787364</v>
      </c>
      <c r="G93" s="140">
        <v>67000</v>
      </c>
      <c r="H93" s="140">
        <f t="shared" ref="H93:H95" si="31">G93/7.5345</f>
        <v>8892.428163779945</v>
      </c>
      <c r="I93" s="140">
        <v>8930</v>
      </c>
      <c r="J93" s="140">
        <v>9168</v>
      </c>
      <c r="K93" s="140">
        <v>9143</v>
      </c>
    </row>
    <row r="94" spans="1:11" ht="25.5" x14ac:dyDescent="0.25">
      <c r="A94" s="141"/>
      <c r="B94" s="18">
        <v>3224</v>
      </c>
      <c r="C94" s="18"/>
      <c r="D94" s="111" t="s">
        <v>86</v>
      </c>
      <c r="E94" s="140">
        <v>13775.19</v>
      </c>
      <c r="F94" s="140">
        <f>E94/7.5345</f>
        <v>1828.2819032450727</v>
      </c>
      <c r="G94" s="140">
        <v>16000</v>
      </c>
      <c r="H94" s="140">
        <f t="shared" si="31"/>
        <v>2123.5649346340169</v>
      </c>
      <c r="I94" s="140">
        <v>2150</v>
      </c>
      <c r="J94" s="140">
        <v>2208</v>
      </c>
      <c r="K94" s="140">
        <v>2201</v>
      </c>
    </row>
    <row r="95" spans="1:11" x14ac:dyDescent="0.25">
      <c r="A95" s="141"/>
      <c r="B95" s="18">
        <v>3225</v>
      </c>
      <c r="C95" s="15"/>
      <c r="D95" s="111" t="s">
        <v>87</v>
      </c>
      <c r="E95" s="140">
        <f>17001.5+10648.41</f>
        <v>27649.91</v>
      </c>
      <c r="F95" s="140">
        <f>E95/7.5345</f>
        <v>3669.7737076116528</v>
      </c>
      <c r="G95" s="140">
        <f>24100+7000</f>
        <v>31100</v>
      </c>
      <c r="H95" s="140">
        <f t="shared" si="31"/>
        <v>4127.6793416948703</v>
      </c>
      <c r="I95" s="140">
        <f>500+1350</f>
        <v>1850</v>
      </c>
      <c r="J95" s="140">
        <v>1906</v>
      </c>
      <c r="K95" s="140">
        <v>1902</v>
      </c>
    </row>
    <row r="96" spans="1:11" ht="25.5" x14ac:dyDescent="0.25">
      <c r="A96" s="141"/>
      <c r="B96" s="142">
        <v>3226</v>
      </c>
      <c r="C96" s="141"/>
      <c r="D96" s="111" t="s">
        <v>88</v>
      </c>
      <c r="E96" s="140"/>
      <c r="F96" s="140"/>
      <c r="G96" s="140"/>
      <c r="H96" s="140"/>
      <c r="I96" s="140"/>
      <c r="J96" s="140"/>
      <c r="K96" s="140"/>
    </row>
    <row r="97" spans="1:11" ht="25.5" x14ac:dyDescent="0.25">
      <c r="A97" s="141"/>
      <c r="B97" s="142">
        <v>3227</v>
      </c>
      <c r="C97" s="141"/>
      <c r="D97" s="111" t="s">
        <v>89</v>
      </c>
      <c r="E97" s="140">
        <v>1948.75</v>
      </c>
      <c r="F97" s="140">
        <v>258.64</v>
      </c>
      <c r="G97" s="140">
        <v>3000</v>
      </c>
      <c r="H97" s="140">
        <v>398.17</v>
      </c>
      <c r="I97" s="140">
        <v>150</v>
      </c>
      <c r="J97" s="140">
        <v>154</v>
      </c>
      <c r="K97" s="140">
        <v>153</v>
      </c>
    </row>
    <row r="98" spans="1:11" x14ac:dyDescent="0.25">
      <c r="A98" s="143"/>
      <c r="B98" s="144">
        <v>323</v>
      </c>
      <c r="C98" s="143"/>
      <c r="D98" s="55" t="s">
        <v>64</v>
      </c>
      <c r="E98" s="138">
        <f t="shared" ref="E98:K98" si="32">SUM(E99:E107)</f>
        <v>104319.59999999999</v>
      </c>
      <c r="F98" s="138">
        <f t="shared" si="32"/>
        <v>13845.57</v>
      </c>
      <c r="G98" s="138">
        <f t="shared" si="32"/>
        <v>93400</v>
      </c>
      <c r="H98" s="138">
        <f t="shared" si="32"/>
        <v>12396.31</v>
      </c>
      <c r="I98" s="138">
        <f t="shared" si="32"/>
        <v>14933</v>
      </c>
      <c r="J98" s="138">
        <f t="shared" si="32"/>
        <v>15307</v>
      </c>
      <c r="K98" s="138">
        <f t="shared" si="32"/>
        <v>15272</v>
      </c>
    </row>
    <row r="99" spans="1:11" x14ac:dyDescent="0.25">
      <c r="A99" s="145"/>
      <c r="B99" s="142">
        <v>3231</v>
      </c>
      <c r="C99" s="141"/>
      <c r="D99" s="111" t="s">
        <v>90</v>
      </c>
      <c r="E99" s="140">
        <v>28683.200000000001</v>
      </c>
      <c r="F99" s="140">
        <v>3806.91</v>
      </c>
      <c r="G99" s="140">
        <v>22000</v>
      </c>
      <c r="H99" s="140">
        <v>2919.9</v>
      </c>
      <c r="I99" s="140">
        <v>4320</v>
      </c>
      <c r="J99" s="140">
        <v>4410</v>
      </c>
      <c r="K99" s="140">
        <v>4400</v>
      </c>
    </row>
    <row r="100" spans="1:11" ht="25.5" x14ac:dyDescent="0.25">
      <c r="A100" s="141"/>
      <c r="B100" s="142">
        <v>3232</v>
      </c>
      <c r="C100" s="141"/>
      <c r="D100" s="111" t="s">
        <v>91</v>
      </c>
      <c r="E100" s="140">
        <v>13533.48</v>
      </c>
      <c r="F100" s="140">
        <v>1796.2</v>
      </c>
      <c r="G100" s="140">
        <v>12000</v>
      </c>
      <c r="H100" s="140">
        <v>1592.67</v>
      </c>
      <c r="I100" s="140">
        <v>2120</v>
      </c>
      <c r="J100" s="140">
        <v>2180</v>
      </c>
      <c r="K100" s="140">
        <v>2180</v>
      </c>
    </row>
    <row r="101" spans="1:11" x14ac:dyDescent="0.25">
      <c r="A101" s="141"/>
      <c r="B101" s="142">
        <v>3233</v>
      </c>
      <c r="C101" s="141"/>
      <c r="D101" s="111" t="s">
        <v>92</v>
      </c>
      <c r="E101" s="140">
        <v>4548</v>
      </c>
      <c r="F101" s="140">
        <v>603.62</v>
      </c>
      <c r="G101" s="140">
        <v>3000</v>
      </c>
      <c r="H101" s="140">
        <v>398.17</v>
      </c>
      <c r="I101" s="140">
        <v>128</v>
      </c>
      <c r="J101" s="140">
        <v>128</v>
      </c>
      <c r="K101" s="140">
        <v>128</v>
      </c>
    </row>
    <row r="102" spans="1:11" x14ac:dyDescent="0.25">
      <c r="A102" s="141"/>
      <c r="B102" s="142">
        <v>3234</v>
      </c>
      <c r="C102" s="141"/>
      <c r="D102" s="111" t="s">
        <v>93</v>
      </c>
      <c r="E102" s="140">
        <v>22176.47</v>
      </c>
      <c r="F102" s="140">
        <v>2943.32</v>
      </c>
      <c r="G102" s="140">
        <v>20000</v>
      </c>
      <c r="H102" s="140">
        <v>2654.46</v>
      </c>
      <c r="I102" s="140">
        <v>3320</v>
      </c>
      <c r="J102" s="140">
        <v>3410</v>
      </c>
      <c r="K102" s="140">
        <v>3400</v>
      </c>
    </row>
    <row r="103" spans="1:11" x14ac:dyDescent="0.25">
      <c r="A103" s="141"/>
      <c r="B103" s="142">
        <v>3235</v>
      </c>
      <c r="C103" s="141"/>
      <c r="D103" s="111" t="s">
        <v>94</v>
      </c>
      <c r="E103" s="140"/>
      <c r="F103" s="140"/>
      <c r="G103" s="140"/>
      <c r="H103" s="140"/>
      <c r="I103" s="140"/>
      <c r="J103" s="140"/>
      <c r="K103" s="140"/>
    </row>
    <row r="104" spans="1:11" ht="25.5" x14ac:dyDescent="0.25">
      <c r="A104" s="141"/>
      <c r="B104" s="142">
        <v>3236</v>
      </c>
      <c r="C104" s="141"/>
      <c r="D104" s="111" t="s">
        <v>95</v>
      </c>
      <c r="E104" s="140">
        <f>1450+16711.93</f>
        <v>18161.93</v>
      </c>
      <c r="F104" s="140">
        <f>192.45+2218.05</f>
        <v>2410.5</v>
      </c>
      <c r="G104" s="140">
        <v>17500</v>
      </c>
      <c r="H104" s="140">
        <v>2322.65</v>
      </c>
      <c r="I104" s="140">
        <v>2655</v>
      </c>
      <c r="J104" s="140">
        <v>2727</v>
      </c>
      <c r="K104" s="140">
        <v>2719</v>
      </c>
    </row>
    <row r="105" spans="1:11" x14ac:dyDescent="0.25">
      <c r="A105" s="141"/>
      <c r="B105" s="142">
        <v>3237</v>
      </c>
      <c r="C105" s="141"/>
      <c r="D105" s="111" t="s">
        <v>96</v>
      </c>
      <c r="E105" s="140"/>
      <c r="F105" s="140"/>
      <c r="G105" s="140"/>
      <c r="H105" s="140"/>
      <c r="I105" s="140"/>
      <c r="J105" s="140"/>
      <c r="K105" s="140"/>
    </row>
    <row r="106" spans="1:11" x14ac:dyDescent="0.25">
      <c r="A106" s="141"/>
      <c r="B106" s="142">
        <v>3238</v>
      </c>
      <c r="C106" s="141"/>
      <c r="D106" s="111" t="s">
        <v>97</v>
      </c>
      <c r="E106" s="140">
        <v>6981.27</v>
      </c>
      <c r="F106" s="140">
        <v>926.57</v>
      </c>
      <c r="G106" s="140">
        <v>9200</v>
      </c>
      <c r="H106" s="140">
        <v>1221.05</v>
      </c>
      <c r="I106" s="140">
        <v>1090</v>
      </c>
      <c r="J106" s="140">
        <v>1120</v>
      </c>
      <c r="K106" s="140">
        <v>1116</v>
      </c>
    </row>
    <row r="107" spans="1:11" x14ac:dyDescent="0.25">
      <c r="A107" s="141"/>
      <c r="B107" s="142">
        <v>3239</v>
      </c>
      <c r="C107" s="141"/>
      <c r="D107" s="111" t="s">
        <v>98</v>
      </c>
      <c r="E107" s="140">
        <f>3935.25+6300</f>
        <v>10235.25</v>
      </c>
      <c r="F107" s="140">
        <f>522.3+836.15</f>
        <v>1358.4499999999998</v>
      </c>
      <c r="G107" s="140">
        <f>7000+2700</f>
        <v>9700</v>
      </c>
      <c r="H107" s="140">
        <f>929.06+358.35</f>
        <v>1287.4099999999999</v>
      </c>
      <c r="I107" s="140">
        <v>1300</v>
      </c>
      <c r="J107" s="140">
        <f>305+1027</f>
        <v>1332</v>
      </c>
      <c r="K107" s="140">
        <f>305+1024</f>
        <v>1329</v>
      </c>
    </row>
    <row r="108" spans="1:11" ht="25.5" x14ac:dyDescent="0.25">
      <c r="A108" s="143"/>
      <c r="B108" s="144">
        <v>324</v>
      </c>
      <c r="C108" s="143"/>
      <c r="D108" s="55" t="s">
        <v>99</v>
      </c>
      <c r="E108" s="138">
        <f>E109</f>
        <v>3747.59</v>
      </c>
      <c r="F108" s="138">
        <f>F109</f>
        <v>497.39</v>
      </c>
      <c r="G108" s="138">
        <f t="shared" ref="G108:K108" si="33">G109</f>
        <v>0</v>
      </c>
      <c r="H108" s="138">
        <f t="shared" si="33"/>
        <v>0</v>
      </c>
      <c r="I108" s="138">
        <f t="shared" si="33"/>
        <v>0</v>
      </c>
      <c r="J108" s="138">
        <f t="shared" si="33"/>
        <v>0</v>
      </c>
      <c r="K108" s="138">
        <f t="shared" si="33"/>
        <v>0</v>
      </c>
    </row>
    <row r="109" spans="1:11" ht="25.5" x14ac:dyDescent="0.25">
      <c r="A109" s="145"/>
      <c r="B109" s="146">
        <v>3241</v>
      </c>
      <c r="C109" s="145"/>
      <c r="D109" s="111" t="s">
        <v>128</v>
      </c>
      <c r="E109" s="147">
        <v>3747.59</v>
      </c>
      <c r="F109" s="147">
        <v>497.39</v>
      </c>
      <c r="G109" s="147"/>
      <c r="H109" s="147"/>
      <c r="I109" s="147"/>
      <c r="J109" s="147"/>
      <c r="K109" s="147"/>
    </row>
    <row r="110" spans="1:11" ht="25.5" x14ac:dyDescent="0.25">
      <c r="A110" s="143"/>
      <c r="B110" s="144">
        <v>329</v>
      </c>
      <c r="C110" s="143"/>
      <c r="D110" s="55" t="s">
        <v>100</v>
      </c>
      <c r="E110" s="138">
        <f>SUM(E111:E117)</f>
        <v>43417.14</v>
      </c>
      <c r="F110" s="138">
        <f>SUM(F111:F117)</f>
        <v>5762.4500000000007</v>
      </c>
      <c r="G110" s="138">
        <f t="shared" ref="G110" si="34">SUM(G111:G117)</f>
        <v>48200</v>
      </c>
      <c r="H110" s="138">
        <f t="shared" ref="H110:K110" si="35">SUM(H111:H117)</f>
        <v>6397.25</v>
      </c>
      <c r="I110" s="138">
        <f t="shared" si="35"/>
        <v>7570</v>
      </c>
      <c r="J110" s="138">
        <f t="shared" si="35"/>
        <v>7675</v>
      </c>
      <c r="K110" s="138">
        <f t="shared" si="35"/>
        <v>7775</v>
      </c>
    </row>
    <row r="111" spans="1:11" ht="38.25" x14ac:dyDescent="0.25">
      <c r="A111" s="145"/>
      <c r="B111" s="142">
        <v>3291</v>
      </c>
      <c r="C111" s="141"/>
      <c r="D111" s="111" t="s">
        <v>101</v>
      </c>
      <c r="E111" s="140"/>
      <c r="F111" s="140"/>
      <c r="G111" s="140"/>
      <c r="H111" s="140"/>
      <c r="I111" s="140"/>
      <c r="J111" s="140"/>
      <c r="K111" s="140"/>
    </row>
    <row r="112" spans="1:11" x14ac:dyDescent="0.25">
      <c r="A112" s="141"/>
      <c r="B112" s="142">
        <v>3292</v>
      </c>
      <c r="C112" s="141"/>
      <c r="D112" s="111" t="s">
        <v>102</v>
      </c>
      <c r="E112" s="140"/>
      <c r="F112" s="140"/>
      <c r="G112" s="140"/>
      <c r="H112" s="140"/>
      <c r="I112" s="140"/>
      <c r="J112" s="140"/>
      <c r="K112" s="140"/>
    </row>
    <row r="113" spans="1:11" x14ac:dyDescent="0.25">
      <c r="A113" s="141"/>
      <c r="B113" s="142">
        <v>3293</v>
      </c>
      <c r="C113" s="141"/>
      <c r="D113" s="111" t="s">
        <v>103</v>
      </c>
      <c r="E113" s="140"/>
      <c r="F113" s="140"/>
      <c r="G113" s="140"/>
      <c r="H113" s="140"/>
      <c r="I113" s="140"/>
      <c r="J113" s="140"/>
      <c r="K113" s="140"/>
    </row>
    <row r="114" spans="1:11" x14ac:dyDescent="0.25">
      <c r="A114" s="141"/>
      <c r="B114" s="142">
        <v>3294</v>
      </c>
      <c r="C114" s="141"/>
      <c r="D114" s="111" t="s">
        <v>104</v>
      </c>
      <c r="E114" s="140">
        <v>1100</v>
      </c>
      <c r="F114" s="140">
        <v>146</v>
      </c>
      <c r="G114" s="140">
        <v>1200</v>
      </c>
      <c r="H114" s="140">
        <v>159.27000000000001</v>
      </c>
      <c r="I114" s="140">
        <v>170</v>
      </c>
      <c r="J114" s="140">
        <v>175</v>
      </c>
      <c r="K114" s="140">
        <v>175</v>
      </c>
    </row>
    <row r="115" spans="1:11" x14ac:dyDescent="0.25">
      <c r="A115" s="141"/>
      <c r="B115" s="142">
        <v>3295</v>
      </c>
      <c r="C115" s="141"/>
      <c r="D115" s="111" t="s">
        <v>105</v>
      </c>
      <c r="E115" s="140">
        <f>14513+955</f>
        <v>15468</v>
      </c>
      <c r="F115" s="140">
        <f>126.75+1926.21</f>
        <v>2052.96</v>
      </c>
      <c r="G115" s="140">
        <v>14000</v>
      </c>
      <c r="H115" s="140">
        <v>1858.12</v>
      </c>
      <c r="I115" s="140">
        <v>1900</v>
      </c>
      <c r="J115" s="140">
        <v>2000</v>
      </c>
      <c r="K115" s="140">
        <v>2100</v>
      </c>
    </row>
    <row r="116" spans="1:11" x14ac:dyDescent="0.25">
      <c r="A116" s="141"/>
      <c r="B116" s="142">
        <v>3296</v>
      </c>
      <c r="C116" s="141"/>
      <c r="D116" s="111" t="s">
        <v>106</v>
      </c>
      <c r="E116" s="140"/>
      <c r="F116" s="140"/>
      <c r="G116" s="140"/>
      <c r="H116" s="140"/>
      <c r="I116" s="140"/>
      <c r="J116" s="140"/>
      <c r="K116" s="140"/>
    </row>
    <row r="117" spans="1:11" ht="25.5" x14ac:dyDescent="0.25">
      <c r="A117" s="141"/>
      <c r="B117" s="142">
        <v>3299</v>
      </c>
      <c r="C117" s="141"/>
      <c r="D117" s="111" t="s">
        <v>65</v>
      </c>
      <c r="E117" s="140">
        <f>10721.14+16128</f>
        <v>26849.14</v>
      </c>
      <c r="F117" s="140">
        <f>1422.94+2140.55</f>
        <v>3563.4900000000002</v>
      </c>
      <c r="G117" s="140">
        <v>33000</v>
      </c>
      <c r="H117" s="140">
        <f>4114.41+265.45</f>
        <v>4379.8599999999997</v>
      </c>
      <c r="I117" s="140">
        <v>5500</v>
      </c>
      <c r="J117" s="140">
        <v>5500</v>
      </c>
      <c r="K117" s="140">
        <v>5500</v>
      </c>
    </row>
    <row r="118" spans="1:11" x14ac:dyDescent="0.25">
      <c r="A118" s="92"/>
      <c r="B118" s="92"/>
      <c r="C118" s="93">
        <v>11</v>
      </c>
      <c r="D118" s="93" t="s">
        <v>20</v>
      </c>
      <c r="E118" s="130"/>
      <c r="F118" s="130"/>
      <c r="G118" s="131"/>
      <c r="H118" s="131"/>
      <c r="I118" s="131"/>
      <c r="J118" s="131"/>
      <c r="K118" s="131"/>
    </row>
    <row r="119" spans="1:11" x14ac:dyDescent="0.25">
      <c r="A119" s="92"/>
      <c r="B119" s="92"/>
      <c r="C119" s="93">
        <v>31</v>
      </c>
      <c r="D119" s="93" t="s">
        <v>168</v>
      </c>
      <c r="E119" s="130">
        <v>4890</v>
      </c>
      <c r="F119" s="130">
        <v>649.01</v>
      </c>
      <c r="G119" s="131">
        <v>5000</v>
      </c>
      <c r="H119" s="131">
        <v>663.61</v>
      </c>
      <c r="I119" s="131">
        <v>730</v>
      </c>
      <c r="J119" s="131">
        <v>740</v>
      </c>
      <c r="K119" s="131">
        <v>740</v>
      </c>
    </row>
    <row r="120" spans="1:11" x14ac:dyDescent="0.25">
      <c r="A120" s="92"/>
      <c r="B120" s="92"/>
      <c r="C120" s="93">
        <v>44</v>
      </c>
      <c r="D120" s="93" t="s">
        <v>163</v>
      </c>
      <c r="E120" s="130">
        <v>264781.78999999998</v>
      </c>
      <c r="F120" s="130">
        <v>35142.58</v>
      </c>
      <c r="G120" s="131">
        <v>269500</v>
      </c>
      <c r="H120" s="131">
        <v>35768.5</v>
      </c>
      <c r="I120" s="131">
        <v>33853</v>
      </c>
      <c r="J120" s="131">
        <v>34888</v>
      </c>
      <c r="K120" s="131">
        <v>35002</v>
      </c>
    </row>
    <row r="121" spans="1:11" x14ac:dyDescent="0.25">
      <c r="A121" s="94"/>
      <c r="B121" s="92"/>
      <c r="C121" s="93">
        <v>51</v>
      </c>
      <c r="D121" s="93" t="s">
        <v>126</v>
      </c>
      <c r="E121" s="130">
        <v>12795</v>
      </c>
      <c r="F121" s="130">
        <v>1698.19</v>
      </c>
      <c r="G121" s="131">
        <v>13000</v>
      </c>
      <c r="H121" s="131">
        <v>1725.4</v>
      </c>
      <c r="I121" s="131">
        <v>1000</v>
      </c>
      <c r="J121" s="131">
        <v>1000</v>
      </c>
      <c r="K121" s="132">
        <v>1000</v>
      </c>
    </row>
    <row r="122" spans="1:11" x14ac:dyDescent="0.25">
      <c r="A122" s="94"/>
      <c r="B122" s="92"/>
      <c r="C122" s="93">
        <v>43</v>
      </c>
      <c r="D122" s="93" t="s">
        <v>54</v>
      </c>
      <c r="E122" s="130">
        <v>95906</v>
      </c>
      <c r="F122" s="130">
        <v>12728.91</v>
      </c>
      <c r="G122" s="131">
        <v>142000</v>
      </c>
      <c r="H122" s="131">
        <v>18846.64</v>
      </c>
      <c r="I122" s="131">
        <v>20330</v>
      </c>
      <c r="J122" s="131">
        <v>20400</v>
      </c>
      <c r="K122" s="132">
        <v>20400</v>
      </c>
    </row>
    <row r="123" spans="1:11" x14ac:dyDescent="0.25">
      <c r="A123" s="94"/>
      <c r="B123" s="92"/>
      <c r="C123" s="93">
        <v>52</v>
      </c>
      <c r="D123" s="93" t="s">
        <v>53</v>
      </c>
      <c r="E123" s="130">
        <v>164570.5</v>
      </c>
      <c r="F123" s="130">
        <v>21842.26</v>
      </c>
      <c r="G123" s="131">
        <v>162000</v>
      </c>
      <c r="H123" s="131">
        <v>21501.09</v>
      </c>
      <c r="I123" s="131">
        <v>20500</v>
      </c>
      <c r="J123" s="131">
        <v>21000</v>
      </c>
      <c r="K123" s="132">
        <v>21300</v>
      </c>
    </row>
    <row r="124" spans="1:11" x14ac:dyDescent="0.25">
      <c r="A124" s="148"/>
      <c r="B124" s="149">
        <v>34</v>
      </c>
      <c r="C124" s="148"/>
      <c r="D124" s="57" t="s">
        <v>66</v>
      </c>
      <c r="E124" s="136">
        <f>E125</f>
        <v>3748</v>
      </c>
      <c r="F124" s="136">
        <f>F125</f>
        <v>497.45</v>
      </c>
      <c r="G124" s="136">
        <f t="shared" ref="G124:K124" si="36">G125</f>
        <v>1500</v>
      </c>
      <c r="H124" s="136">
        <f t="shared" si="36"/>
        <v>199.08</v>
      </c>
      <c r="I124" s="136">
        <f t="shared" si="36"/>
        <v>510</v>
      </c>
      <c r="J124" s="136">
        <f t="shared" si="36"/>
        <v>520</v>
      </c>
      <c r="K124" s="136">
        <f t="shared" si="36"/>
        <v>520</v>
      </c>
    </row>
    <row r="125" spans="1:11" x14ac:dyDescent="0.25">
      <c r="A125" s="143"/>
      <c r="B125" s="144">
        <v>343</v>
      </c>
      <c r="C125" s="143"/>
      <c r="D125" s="55" t="s">
        <v>67</v>
      </c>
      <c r="E125" s="138">
        <f>SUM(E126:E127)</f>
        <v>3748</v>
      </c>
      <c r="F125" s="138">
        <f>SUM(F126:F127)</f>
        <v>497.45</v>
      </c>
      <c r="G125" s="138">
        <f t="shared" ref="G125" si="37">SUM(G126:G127)</f>
        <v>1500</v>
      </c>
      <c r="H125" s="138">
        <f t="shared" ref="H125:K125" si="38">SUM(H126:H127)</f>
        <v>199.08</v>
      </c>
      <c r="I125" s="138">
        <f t="shared" si="38"/>
        <v>510</v>
      </c>
      <c r="J125" s="138">
        <f t="shared" si="38"/>
        <v>520</v>
      </c>
      <c r="K125" s="138">
        <f t="shared" si="38"/>
        <v>520</v>
      </c>
    </row>
    <row r="126" spans="1:11" ht="25.5" x14ac:dyDescent="0.25">
      <c r="A126" s="145"/>
      <c r="B126" s="142">
        <v>3431</v>
      </c>
      <c r="C126" s="141"/>
      <c r="D126" s="111" t="s">
        <v>107</v>
      </c>
      <c r="E126" s="140">
        <v>3748</v>
      </c>
      <c r="F126" s="140">
        <v>497.45</v>
      </c>
      <c r="G126" s="140">
        <v>1500</v>
      </c>
      <c r="H126" s="140">
        <v>199.08</v>
      </c>
      <c r="I126" s="140">
        <v>510</v>
      </c>
      <c r="J126" s="140">
        <v>520</v>
      </c>
      <c r="K126" s="140">
        <v>520</v>
      </c>
    </row>
    <row r="127" spans="1:11" x14ac:dyDescent="0.25">
      <c r="A127" s="141"/>
      <c r="B127" s="142">
        <v>3433</v>
      </c>
      <c r="C127" s="141"/>
      <c r="D127" s="111" t="s">
        <v>108</v>
      </c>
      <c r="E127" s="140"/>
      <c r="F127" s="140"/>
      <c r="G127" s="140"/>
      <c r="H127" s="140"/>
      <c r="I127" s="140"/>
      <c r="J127" s="140"/>
      <c r="K127" s="140"/>
    </row>
    <row r="128" spans="1:11" x14ac:dyDescent="0.25">
      <c r="A128" s="92"/>
      <c r="B128" s="92"/>
      <c r="C128" s="93">
        <v>11</v>
      </c>
      <c r="D128" s="93" t="s">
        <v>20</v>
      </c>
      <c r="E128" s="130"/>
      <c r="F128" s="130"/>
      <c r="G128" s="131"/>
      <c r="H128" s="131"/>
      <c r="I128" s="131"/>
      <c r="J128" s="131"/>
      <c r="K128" s="131"/>
    </row>
    <row r="129" spans="1:11" x14ac:dyDescent="0.25">
      <c r="A129" s="92"/>
      <c r="B129" s="92"/>
      <c r="C129" s="93">
        <v>31</v>
      </c>
      <c r="D129" s="93" t="s">
        <v>168</v>
      </c>
      <c r="E129" s="130"/>
      <c r="F129" s="130"/>
      <c r="G129" s="131"/>
      <c r="H129" s="131"/>
      <c r="I129" s="131"/>
      <c r="J129" s="131"/>
      <c r="K129" s="131"/>
    </row>
    <row r="130" spans="1:11" x14ac:dyDescent="0.25">
      <c r="A130" s="92"/>
      <c r="B130" s="92"/>
      <c r="C130" s="93">
        <v>44</v>
      </c>
      <c r="D130" s="93" t="s">
        <v>163</v>
      </c>
      <c r="E130" s="154">
        <v>3748</v>
      </c>
      <c r="F130" s="154">
        <v>497.45</v>
      </c>
      <c r="G130" s="154">
        <v>1500</v>
      </c>
      <c r="H130" s="154">
        <v>199.08</v>
      </c>
      <c r="I130" s="154">
        <v>510</v>
      </c>
      <c r="J130" s="154">
        <v>520</v>
      </c>
      <c r="K130" s="154">
        <v>520</v>
      </c>
    </row>
    <row r="131" spans="1:11" x14ac:dyDescent="0.25">
      <c r="A131" s="94"/>
      <c r="B131" s="92"/>
      <c r="C131" s="93">
        <v>51</v>
      </c>
      <c r="D131" s="93" t="s">
        <v>126</v>
      </c>
      <c r="E131" s="130"/>
      <c r="F131" s="130"/>
      <c r="G131" s="131"/>
      <c r="H131" s="131"/>
      <c r="I131" s="131"/>
      <c r="J131" s="131"/>
      <c r="K131" s="132"/>
    </row>
    <row r="132" spans="1:11" x14ac:dyDescent="0.25">
      <c r="A132" s="94"/>
      <c r="B132" s="92"/>
      <c r="C132" s="93">
        <v>43</v>
      </c>
      <c r="D132" s="93" t="s">
        <v>54</v>
      </c>
      <c r="E132" s="130"/>
      <c r="F132" s="130"/>
      <c r="G132" s="131"/>
      <c r="H132" s="131"/>
      <c r="I132" s="131"/>
      <c r="J132" s="131"/>
      <c r="K132" s="132"/>
    </row>
    <row r="133" spans="1:11" x14ac:dyDescent="0.25">
      <c r="A133" s="94"/>
      <c r="B133" s="92"/>
      <c r="C133" s="93">
        <v>52</v>
      </c>
      <c r="D133" s="93" t="s">
        <v>53</v>
      </c>
      <c r="E133" s="130"/>
      <c r="F133" s="130"/>
      <c r="G133" s="131"/>
      <c r="H133" s="131"/>
      <c r="I133" s="131"/>
      <c r="J133" s="131"/>
      <c r="K133" s="132"/>
    </row>
    <row r="134" spans="1:11" ht="38.25" x14ac:dyDescent="0.25">
      <c r="A134" s="148"/>
      <c r="B134" s="149">
        <v>37</v>
      </c>
      <c r="C134" s="148"/>
      <c r="D134" s="57" t="s">
        <v>68</v>
      </c>
      <c r="E134" s="136">
        <f>E135</f>
        <v>31290.29</v>
      </c>
      <c r="F134" s="136">
        <f>F135</f>
        <v>4152.9399999999996</v>
      </c>
      <c r="G134" s="136">
        <f t="shared" ref="G134:K134" si="39">G135</f>
        <v>0</v>
      </c>
      <c r="H134" s="136">
        <f t="shared" si="39"/>
        <v>0</v>
      </c>
      <c r="I134" s="136">
        <f t="shared" si="39"/>
        <v>3900</v>
      </c>
      <c r="J134" s="136">
        <f t="shared" si="39"/>
        <v>3950</v>
      </c>
      <c r="K134" s="136">
        <f t="shared" si="39"/>
        <v>4000</v>
      </c>
    </row>
    <row r="135" spans="1:11" ht="25.5" x14ac:dyDescent="0.25">
      <c r="A135" s="143"/>
      <c r="B135" s="144">
        <v>372</v>
      </c>
      <c r="C135" s="143"/>
      <c r="D135" s="55" t="s">
        <v>69</v>
      </c>
      <c r="E135" s="138">
        <f>SUM(E136:E137)</f>
        <v>31290.29</v>
      </c>
      <c r="F135" s="138">
        <f>SUM(F136:F137)</f>
        <v>4152.9399999999996</v>
      </c>
      <c r="G135" s="138">
        <f t="shared" ref="G135" si="40">SUM(G136:G137)</f>
        <v>0</v>
      </c>
      <c r="H135" s="138">
        <f t="shared" ref="H135:K135" si="41">SUM(H136:H137)</f>
        <v>0</v>
      </c>
      <c r="I135" s="138">
        <f t="shared" si="41"/>
        <v>3900</v>
      </c>
      <c r="J135" s="138">
        <f t="shared" si="41"/>
        <v>3950</v>
      </c>
      <c r="K135" s="138">
        <f t="shared" si="41"/>
        <v>4000</v>
      </c>
    </row>
    <row r="136" spans="1:11" ht="25.5" x14ac:dyDescent="0.25">
      <c r="A136" s="145"/>
      <c r="B136" s="142">
        <v>3721</v>
      </c>
      <c r="C136" s="141"/>
      <c r="D136" s="111" t="s">
        <v>109</v>
      </c>
      <c r="E136" s="140"/>
      <c r="F136" s="140"/>
      <c r="G136" s="140"/>
      <c r="H136" s="140"/>
      <c r="I136" s="140"/>
      <c r="J136" s="140"/>
      <c r="K136" s="140"/>
    </row>
    <row r="137" spans="1:11" ht="25.5" x14ac:dyDescent="0.25">
      <c r="A137" s="141"/>
      <c r="B137" s="142">
        <v>3722</v>
      </c>
      <c r="C137" s="141"/>
      <c r="D137" s="111" t="s">
        <v>110</v>
      </c>
      <c r="E137" s="140">
        <v>31290.29</v>
      </c>
      <c r="F137" s="140">
        <v>4152.9399999999996</v>
      </c>
      <c r="G137" s="140"/>
      <c r="H137" s="140"/>
      <c r="I137" s="140">
        <v>3900</v>
      </c>
      <c r="J137" s="140">
        <v>3950</v>
      </c>
      <c r="K137" s="140">
        <v>4000</v>
      </c>
    </row>
    <row r="138" spans="1:11" x14ac:dyDescent="0.25">
      <c r="A138" s="92"/>
      <c r="B138" s="92"/>
      <c r="C138" s="93">
        <v>11</v>
      </c>
      <c r="D138" s="93" t="s">
        <v>20</v>
      </c>
      <c r="E138" s="130"/>
      <c r="F138" s="130"/>
      <c r="G138" s="131"/>
      <c r="H138" s="131"/>
      <c r="I138" s="131"/>
      <c r="J138" s="131"/>
      <c r="K138" s="131"/>
    </row>
    <row r="139" spans="1:11" x14ac:dyDescent="0.25">
      <c r="A139" s="92"/>
      <c r="B139" s="92"/>
      <c r="C139" s="93">
        <v>31</v>
      </c>
      <c r="D139" s="93" t="s">
        <v>168</v>
      </c>
      <c r="E139" s="130"/>
      <c r="F139" s="130"/>
      <c r="G139" s="131"/>
      <c r="H139" s="131"/>
      <c r="I139" s="131"/>
      <c r="J139" s="131"/>
      <c r="K139" s="131"/>
    </row>
    <row r="140" spans="1:11" x14ac:dyDescent="0.25">
      <c r="A140" s="92"/>
      <c r="B140" s="92"/>
      <c r="C140" s="93">
        <v>44</v>
      </c>
      <c r="D140" s="93" t="s">
        <v>163</v>
      </c>
      <c r="E140" s="130"/>
      <c r="F140" s="130"/>
      <c r="G140" s="131"/>
      <c r="H140" s="131"/>
      <c r="I140" s="131"/>
      <c r="J140" s="131"/>
      <c r="K140" s="131"/>
    </row>
    <row r="141" spans="1:11" x14ac:dyDescent="0.25">
      <c r="A141" s="94"/>
      <c r="B141" s="92"/>
      <c r="C141" s="93">
        <v>51</v>
      </c>
      <c r="D141" s="93" t="s">
        <v>126</v>
      </c>
      <c r="E141" s="130"/>
      <c r="F141" s="130"/>
      <c r="G141" s="131"/>
      <c r="H141" s="131"/>
      <c r="I141" s="131"/>
      <c r="J141" s="131"/>
      <c r="K141" s="132"/>
    </row>
    <row r="142" spans="1:11" x14ac:dyDescent="0.25">
      <c r="A142" s="94"/>
      <c r="B142" s="92"/>
      <c r="C142" s="93">
        <v>43</v>
      </c>
      <c r="D142" s="93" t="s">
        <v>54</v>
      </c>
      <c r="E142" s="130"/>
      <c r="F142" s="130"/>
      <c r="G142" s="131"/>
      <c r="H142" s="131"/>
      <c r="I142" s="131"/>
      <c r="J142" s="131"/>
      <c r="K142" s="132"/>
    </row>
    <row r="143" spans="1:11" x14ac:dyDescent="0.25">
      <c r="A143" s="94"/>
      <c r="B143" s="92"/>
      <c r="C143" s="93">
        <v>52</v>
      </c>
      <c r="D143" s="93" t="s">
        <v>53</v>
      </c>
      <c r="E143" s="130">
        <f>E137</f>
        <v>31290.29</v>
      </c>
      <c r="F143" s="130">
        <f t="shared" ref="F143:K143" si="42">F137</f>
        <v>4152.9399999999996</v>
      </c>
      <c r="G143" s="130"/>
      <c r="H143" s="130"/>
      <c r="I143" s="130">
        <f t="shared" si="42"/>
        <v>3900</v>
      </c>
      <c r="J143" s="130">
        <f t="shared" si="42"/>
        <v>3950</v>
      </c>
      <c r="K143" s="130">
        <f t="shared" si="42"/>
        <v>4000</v>
      </c>
    </row>
    <row r="144" spans="1:11" ht="38.25" x14ac:dyDescent="0.25">
      <c r="A144" s="150"/>
      <c r="B144" s="151">
        <v>4</v>
      </c>
      <c r="C144" s="150"/>
      <c r="D144" s="96" t="s">
        <v>56</v>
      </c>
      <c r="E144" s="152">
        <f>E145</f>
        <v>42566</v>
      </c>
      <c r="F144" s="152">
        <f>F145</f>
        <v>5649.48</v>
      </c>
      <c r="G144" s="152">
        <f t="shared" ref="G144:K144" si="43">G145</f>
        <v>44600</v>
      </c>
      <c r="H144" s="152">
        <f t="shared" si="43"/>
        <v>5919.44</v>
      </c>
      <c r="I144" s="152">
        <f t="shared" si="43"/>
        <v>4430</v>
      </c>
      <c r="J144" s="152">
        <f t="shared" si="43"/>
        <v>4485</v>
      </c>
      <c r="K144" s="152">
        <f t="shared" si="43"/>
        <v>4535</v>
      </c>
    </row>
    <row r="145" spans="1:11" ht="38.25" x14ac:dyDescent="0.25">
      <c r="A145" s="148"/>
      <c r="B145" s="149">
        <v>42</v>
      </c>
      <c r="C145" s="148"/>
      <c r="D145" s="57" t="s">
        <v>56</v>
      </c>
      <c r="E145" s="136">
        <f>SUM(E146,E153)</f>
        <v>42566</v>
      </c>
      <c r="F145" s="136">
        <f>SUM(F146,F153)</f>
        <v>5649.48</v>
      </c>
      <c r="G145" s="136">
        <f t="shared" ref="G145" si="44">SUM(G146,G153)</f>
        <v>44600</v>
      </c>
      <c r="H145" s="136">
        <f t="shared" ref="H145:K145" si="45">SUM(H146,H153)</f>
        <v>5919.44</v>
      </c>
      <c r="I145" s="136">
        <f t="shared" si="45"/>
        <v>4430</v>
      </c>
      <c r="J145" s="136">
        <f t="shared" si="45"/>
        <v>4485</v>
      </c>
      <c r="K145" s="136">
        <f t="shared" si="45"/>
        <v>4535</v>
      </c>
    </row>
    <row r="146" spans="1:11" x14ac:dyDescent="0.25">
      <c r="A146" s="143"/>
      <c r="B146" s="144">
        <v>422</v>
      </c>
      <c r="C146" s="143"/>
      <c r="D146" s="55" t="s">
        <v>70</v>
      </c>
      <c r="E146" s="138">
        <f t="shared" ref="E146:K146" si="46">SUM(E147:E152)</f>
        <v>3990</v>
      </c>
      <c r="F146" s="138">
        <f t="shared" si="46"/>
        <v>529.55999999999995</v>
      </c>
      <c r="G146" s="138">
        <f t="shared" si="46"/>
        <v>38000</v>
      </c>
      <c r="H146" s="138">
        <f t="shared" si="46"/>
        <v>5043.4699999999993</v>
      </c>
      <c r="I146" s="138">
        <f t="shared" si="46"/>
        <v>0</v>
      </c>
      <c r="J146" s="138">
        <f t="shared" si="46"/>
        <v>0</v>
      </c>
      <c r="K146" s="138">
        <f t="shared" si="46"/>
        <v>0</v>
      </c>
    </row>
    <row r="147" spans="1:11" x14ac:dyDescent="0.25">
      <c r="A147" s="145"/>
      <c r="B147" s="142">
        <v>4221</v>
      </c>
      <c r="C147" s="141"/>
      <c r="D147" s="111" t="s">
        <v>111</v>
      </c>
      <c r="E147" s="140"/>
      <c r="F147" s="140"/>
      <c r="G147" s="140">
        <v>7000</v>
      </c>
      <c r="H147" s="140">
        <v>929.06</v>
      </c>
      <c r="I147" s="140"/>
      <c r="J147" s="140"/>
      <c r="K147" s="140"/>
    </row>
    <row r="148" spans="1:11" x14ac:dyDescent="0.25">
      <c r="A148" s="141"/>
      <c r="B148" s="142">
        <v>4222</v>
      </c>
      <c r="C148" s="141"/>
      <c r="D148" s="111" t="s">
        <v>112</v>
      </c>
      <c r="E148" s="140"/>
      <c r="F148" s="140"/>
      <c r="G148" s="140"/>
      <c r="H148" s="140"/>
      <c r="I148" s="140"/>
      <c r="J148" s="140"/>
      <c r="K148" s="140"/>
    </row>
    <row r="149" spans="1:11" x14ac:dyDescent="0.25">
      <c r="A149" s="141"/>
      <c r="B149" s="142">
        <v>4223</v>
      </c>
      <c r="C149" s="141"/>
      <c r="D149" s="111" t="s">
        <v>113</v>
      </c>
      <c r="E149" s="140"/>
      <c r="F149" s="140"/>
      <c r="G149" s="140"/>
      <c r="H149" s="140"/>
      <c r="I149" s="140"/>
      <c r="J149" s="140"/>
      <c r="K149" s="140"/>
    </row>
    <row r="150" spans="1:11" x14ac:dyDescent="0.25">
      <c r="A150" s="141"/>
      <c r="B150" s="142">
        <v>4225</v>
      </c>
      <c r="C150" s="141"/>
      <c r="D150" s="111" t="s">
        <v>114</v>
      </c>
      <c r="E150" s="140"/>
      <c r="F150" s="140"/>
      <c r="G150" s="140"/>
      <c r="H150" s="140"/>
      <c r="I150" s="140"/>
      <c r="J150" s="140"/>
      <c r="K150" s="140"/>
    </row>
    <row r="151" spans="1:11" x14ac:dyDescent="0.25">
      <c r="A151" s="141"/>
      <c r="B151" s="142">
        <v>4226</v>
      </c>
      <c r="C151" s="141"/>
      <c r="D151" s="111" t="s">
        <v>115</v>
      </c>
      <c r="E151" s="140">
        <v>3990</v>
      </c>
      <c r="F151" s="140">
        <v>529.55999999999995</v>
      </c>
      <c r="G151" s="140"/>
      <c r="H151" s="140"/>
      <c r="I151" s="140"/>
      <c r="J151" s="140"/>
      <c r="K151" s="140"/>
    </row>
    <row r="152" spans="1:11" ht="25.5" x14ac:dyDescent="0.25">
      <c r="A152" s="141"/>
      <c r="B152" s="142">
        <v>4227</v>
      </c>
      <c r="C152" s="141"/>
      <c r="D152" s="111" t="s">
        <v>116</v>
      </c>
      <c r="E152" s="140"/>
      <c r="F152" s="140"/>
      <c r="G152" s="140">
        <v>31000</v>
      </c>
      <c r="H152" s="140">
        <f>796.34+3318.07</f>
        <v>4114.41</v>
      </c>
      <c r="I152" s="140"/>
      <c r="J152" s="140"/>
      <c r="K152" s="140"/>
    </row>
    <row r="153" spans="1:11" ht="25.5" x14ac:dyDescent="0.25">
      <c r="A153" s="143"/>
      <c r="B153" s="144">
        <v>424</v>
      </c>
      <c r="C153" s="143"/>
      <c r="D153" s="55" t="s">
        <v>71</v>
      </c>
      <c r="E153" s="138">
        <f>E154</f>
        <v>38576</v>
      </c>
      <c r="F153" s="138">
        <f>F154</f>
        <v>5119.92</v>
      </c>
      <c r="G153" s="138">
        <f t="shared" ref="G153:K153" si="47">G154</f>
        <v>6600</v>
      </c>
      <c r="H153" s="138">
        <f t="shared" si="47"/>
        <v>875.97</v>
      </c>
      <c r="I153" s="138">
        <f t="shared" si="47"/>
        <v>4430</v>
      </c>
      <c r="J153" s="138">
        <f t="shared" si="47"/>
        <v>4485</v>
      </c>
      <c r="K153" s="138">
        <f t="shared" si="47"/>
        <v>4535</v>
      </c>
    </row>
    <row r="154" spans="1:11" x14ac:dyDescent="0.25">
      <c r="A154" s="145"/>
      <c r="B154" s="153">
        <v>4241</v>
      </c>
      <c r="C154" s="141"/>
      <c r="D154" s="111" t="s">
        <v>117</v>
      </c>
      <c r="E154" s="140">
        <f>31533+7043</f>
        <v>38576</v>
      </c>
      <c r="F154" s="140">
        <f>4185.15+934.77</f>
        <v>5119.92</v>
      </c>
      <c r="G154" s="140">
        <v>6600</v>
      </c>
      <c r="H154" s="140">
        <v>875.97</v>
      </c>
      <c r="I154" s="140">
        <f>3900+530</f>
        <v>4430</v>
      </c>
      <c r="J154" s="140">
        <f>535+3950</f>
        <v>4485</v>
      </c>
      <c r="K154" s="140">
        <v>4535</v>
      </c>
    </row>
    <row r="155" spans="1:11" x14ac:dyDescent="0.25">
      <c r="A155" s="92"/>
      <c r="B155" s="92"/>
      <c r="C155" s="93">
        <v>11</v>
      </c>
      <c r="D155" s="93" t="s">
        <v>20</v>
      </c>
      <c r="E155" s="130"/>
      <c r="F155" s="130"/>
      <c r="G155" s="131"/>
      <c r="H155" s="131"/>
      <c r="I155" s="131"/>
      <c r="J155" s="131"/>
      <c r="K155" s="131"/>
    </row>
    <row r="156" spans="1:11" x14ac:dyDescent="0.25">
      <c r="A156" s="92"/>
      <c r="B156" s="92"/>
      <c r="C156" s="93">
        <v>31</v>
      </c>
      <c r="D156" s="93" t="s">
        <v>168</v>
      </c>
      <c r="E156" s="130"/>
      <c r="F156" s="130"/>
      <c r="G156" s="131"/>
      <c r="H156" s="131"/>
      <c r="I156" s="131"/>
      <c r="J156" s="131"/>
      <c r="K156" s="131"/>
    </row>
    <row r="157" spans="1:11" x14ac:dyDescent="0.25">
      <c r="A157" s="92"/>
      <c r="B157" s="92"/>
      <c r="C157" s="93">
        <v>44</v>
      </c>
      <c r="D157" s="93" t="s">
        <v>163</v>
      </c>
      <c r="E157" s="130"/>
      <c r="F157" s="130"/>
      <c r="G157" s="131">
        <v>25000</v>
      </c>
      <c r="H157" s="131">
        <v>3318.07</v>
      </c>
      <c r="I157" s="131"/>
      <c r="J157" s="131"/>
      <c r="K157" s="131"/>
    </row>
    <row r="158" spans="1:11" x14ac:dyDescent="0.25">
      <c r="A158" s="94"/>
      <c r="B158" s="92"/>
      <c r="C158" s="93">
        <v>51</v>
      </c>
      <c r="D158" s="93" t="s">
        <v>126</v>
      </c>
      <c r="E158" s="130"/>
      <c r="F158" s="130"/>
      <c r="G158" s="131"/>
      <c r="H158" s="131"/>
      <c r="I158" s="131"/>
      <c r="J158" s="131"/>
      <c r="K158" s="132"/>
    </row>
    <row r="159" spans="1:11" x14ac:dyDescent="0.25">
      <c r="A159" s="94"/>
      <c r="B159" s="92"/>
      <c r="C159" s="93">
        <v>43</v>
      </c>
      <c r="D159" s="93" t="s">
        <v>54</v>
      </c>
      <c r="E159" s="130">
        <v>7043</v>
      </c>
      <c r="F159" s="130">
        <v>934.77</v>
      </c>
      <c r="G159" s="131">
        <v>12600</v>
      </c>
      <c r="H159" s="131">
        <v>1672.31</v>
      </c>
      <c r="I159" s="131">
        <v>530</v>
      </c>
      <c r="J159" s="131">
        <v>535</v>
      </c>
      <c r="K159" s="132">
        <v>535</v>
      </c>
    </row>
    <row r="160" spans="1:11" x14ac:dyDescent="0.25">
      <c r="A160" s="94"/>
      <c r="B160" s="92"/>
      <c r="C160" s="93">
        <v>52</v>
      </c>
      <c r="D160" s="93" t="s">
        <v>53</v>
      </c>
      <c r="E160" s="130">
        <v>31533</v>
      </c>
      <c r="F160" s="130">
        <v>4185.1499999999996</v>
      </c>
      <c r="G160" s="131"/>
      <c r="H160" s="131"/>
      <c r="I160" s="131">
        <v>3900</v>
      </c>
      <c r="J160" s="131">
        <v>3950</v>
      </c>
      <c r="K160" s="132">
        <v>4000</v>
      </c>
    </row>
    <row r="161" spans="1:11" x14ac:dyDescent="0.25">
      <c r="A161" s="195" t="s">
        <v>129</v>
      </c>
      <c r="B161" s="196"/>
      <c r="C161" s="196"/>
      <c r="D161" s="197"/>
      <c r="E161" s="152">
        <f t="shared" ref="E161:K161" si="48">SUM(E67,E144)</f>
        <v>3978530.8899999997</v>
      </c>
      <c r="F161" s="152">
        <f t="shared" si="48"/>
        <v>528041.78087265242</v>
      </c>
      <c r="G161" s="152">
        <f t="shared" si="48"/>
        <v>3846200</v>
      </c>
      <c r="H161" s="152">
        <f t="shared" si="48"/>
        <v>527201.5555683854</v>
      </c>
      <c r="I161" s="152">
        <f t="shared" si="48"/>
        <v>561028</v>
      </c>
      <c r="J161" s="152">
        <f t="shared" si="48"/>
        <v>568257.5</v>
      </c>
      <c r="K161" s="152">
        <f t="shared" si="48"/>
        <v>574770.5</v>
      </c>
    </row>
  </sheetData>
  <mergeCells count="6">
    <mergeCell ref="A161:D161"/>
    <mergeCell ref="A7:K7"/>
    <mergeCell ref="A64:K64"/>
    <mergeCell ref="A1:K1"/>
    <mergeCell ref="A3:K3"/>
    <mergeCell ref="A5:K5"/>
  </mergeCells>
  <pageMargins left="0.25" right="0.25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F13" sqref="F1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74" t="s">
        <v>55</v>
      </c>
      <c r="B1" s="174"/>
      <c r="C1" s="174"/>
      <c r="D1" s="174"/>
      <c r="E1" s="174"/>
      <c r="F1" s="174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74" t="s">
        <v>32</v>
      </c>
      <c r="B3" s="174"/>
      <c r="C3" s="174"/>
      <c r="D3" s="174"/>
      <c r="E3" s="176"/>
      <c r="F3" s="176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74" t="s">
        <v>15</v>
      </c>
      <c r="B5" s="175"/>
      <c r="C5" s="175"/>
      <c r="D5" s="175"/>
      <c r="E5" s="175"/>
      <c r="F5" s="175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74" t="s">
        <v>25</v>
      </c>
      <c r="B7" s="198"/>
      <c r="C7" s="198"/>
      <c r="D7" s="198"/>
      <c r="E7" s="198"/>
      <c r="F7" s="198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5" t="s">
        <v>26</v>
      </c>
      <c r="B9" s="24" t="s">
        <v>12</v>
      </c>
      <c r="C9" s="25" t="s">
        <v>13</v>
      </c>
      <c r="D9" s="25" t="s">
        <v>49</v>
      </c>
      <c r="E9" s="25" t="s">
        <v>50</v>
      </c>
      <c r="F9" s="25" t="s">
        <v>51</v>
      </c>
    </row>
    <row r="10" spans="1:6" ht="15.75" customHeight="1" x14ac:dyDescent="0.25">
      <c r="A10" s="13" t="s">
        <v>27</v>
      </c>
      <c r="B10" s="10">
        <f>B11</f>
        <v>524235.58298493596</v>
      </c>
      <c r="C10" s="10">
        <f t="shared" ref="C10:F10" si="0">C11</f>
        <v>504559.02846904239</v>
      </c>
      <c r="D10" s="10">
        <f t="shared" si="0"/>
        <v>543598</v>
      </c>
      <c r="E10" s="10">
        <f t="shared" si="0"/>
        <v>550772.5</v>
      </c>
      <c r="F10" s="10">
        <f t="shared" si="0"/>
        <v>557235.5</v>
      </c>
    </row>
    <row r="11" spans="1:6" ht="15.75" customHeight="1" x14ac:dyDescent="0.25">
      <c r="A11" s="13" t="s">
        <v>122</v>
      </c>
      <c r="B11" s="10">
        <f>SUM(B12,B13,B14)</f>
        <v>524235.58298493596</v>
      </c>
      <c r="C11" s="10">
        <f t="shared" ref="C11:F11" si="1">SUM(C12,C13,C14)</f>
        <v>504559.02846904239</v>
      </c>
      <c r="D11" s="10">
        <f t="shared" si="1"/>
        <v>543598</v>
      </c>
      <c r="E11" s="10">
        <f t="shared" si="1"/>
        <v>550772.5</v>
      </c>
      <c r="F11" s="10">
        <f t="shared" si="1"/>
        <v>557235.5</v>
      </c>
    </row>
    <row r="12" spans="1:6" x14ac:dyDescent="0.25">
      <c r="A12" s="19" t="s">
        <v>123</v>
      </c>
      <c r="B12" s="10">
        <f>3858347/7.5345</f>
        <v>512090.64967814717</v>
      </c>
      <c r="C12" s="11">
        <f>3691300/7.5345</f>
        <v>489919.70270090911</v>
      </c>
      <c r="D12" s="11">
        <v>529168</v>
      </c>
      <c r="E12" s="11">
        <f>550772.5-14480</f>
        <v>536292.5</v>
      </c>
      <c r="F12" s="11">
        <f>557235.5-14480</f>
        <v>542755.5</v>
      </c>
    </row>
    <row r="13" spans="1:6" x14ac:dyDescent="0.25">
      <c r="A13" s="20" t="s">
        <v>124</v>
      </c>
      <c r="B13" s="10">
        <f>91506/7.5345</f>
        <v>12144.933306788771</v>
      </c>
      <c r="C13" s="11">
        <f>110300/7.5345</f>
        <v>14639.325768133252</v>
      </c>
      <c r="D13" s="11">
        <v>14430</v>
      </c>
      <c r="E13" s="167">
        <f>230+13250+1000</f>
        <v>14480</v>
      </c>
      <c r="F13" s="167">
        <f>230+13250+1000</f>
        <v>14480</v>
      </c>
    </row>
    <row r="14" spans="1:6" ht="29.25" customHeight="1" x14ac:dyDescent="0.25">
      <c r="A14" s="20" t="s">
        <v>125</v>
      </c>
      <c r="B14" s="10"/>
      <c r="C14" s="11"/>
      <c r="D14" s="11"/>
      <c r="E14" s="11"/>
      <c r="F14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74" t="s">
        <v>55</v>
      </c>
      <c r="B1" s="174"/>
      <c r="C1" s="174"/>
      <c r="D1" s="174"/>
      <c r="E1" s="174"/>
      <c r="F1" s="174"/>
      <c r="G1" s="174"/>
      <c r="H1" s="174"/>
      <c r="I1" s="174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74" t="s">
        <v>32</v>
      </c>
      <c r="B3" s="174"/>
      <c r="C3" s="174"/>
      <c r="D3" s="174"/>
      <c r="E3" s="174"/>
      <c r="F3" s="174"/>
      <c r="G3" s="174"/>
      <c r="H3" s="176"/>
      <c r="I3" s="176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74" t="s">
        <v>28</v>
      </c>
      <c r="B5" s="175"/>
      <c r="C5" s="175"/>
      <c r="D5" s="175"/>
      <c r="E5" s="175"/>
      <c r="F5" s="175"/>
      <c r="G5" s="175"/>
      <c r="H5" s="175"/>
      <c r="I5" s="175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59</v>
      </c>
      <c r="E7" s="24" t="s">
        <v>12</v>
      </c>
      <c r="F7" s="25" t="s">
        <v>13</v>
      </c>
      <c r="G7" s="25" t="s">
        <v>49</v>
      </c>
      <c r="H7" s="25" t="s">
        <v>50</v>
      </c>
      <c r="I7" s="25" t="s">
        <v>51</v>
      </c>
    </row>
    <row r="8" spans="1:9" ht="25.5" x14ac:dyDescent="0.25">
      <c r="A8" s="13">
        <v>8</v>
      </c>
      <c r="B8" s="13"/>
      <c r="C8" s="13"/>
      <c r="D8" s="13" t="s">
        <v>29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36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9" t="s">
        <v>37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0" t="s">
        <v>30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1" t="s">
        <v>38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39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7"/>
  <sheetViews>
    <sheetView topLeftCell="A288" zoomScaleNormal="100" workbookViewId="0">
      <selection activeCell="L306" sqref="L306"/>
    </sheetView>
  </sheetViews>
  <sheetFormatPr defaultRowHeight="15" x14ac:dyDescent="0.25"/>
  <cols>
    <col min="1" max="1" width="7.42578125" bestFit="1" customWidth="1"/>
    <col min="2" max="2" width="8.42578125" customWidth="1"/>
    <col min="3" max="3" width="8.7109375" customWidth="1"/>
    <col min="4" max="4" width="30" customWidth="1"/>
    <col min="5" max="11" width="15.42578125" customWidth="1"/>
  </cols>
  <sheetData>
    <row r="1" spans="1:11" ht="42" customHeight="1" x14ac:dyDescent="0.25">
      <c r="A1" s="174" t="s">
        <v>55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8" x14ac:dyDescent="0.25">
      <c r="A2" s="5"/>
      <c r="B2" s="5"/>
      <c r="C2" s="5"/>
      <c r="D2" s="5"/>
      <c r="E2" s="29"/>
      <c r="F2" s="5"/>
      <c r="G2" s="29"/>
      <c r="H2" s="5"/>
      <c r="I2" s="5"/>
      <c r="J2" s="6"/>
      <c r="K2" s="6"/>
    </row>
    <row r="3" spans="1:11" ht="18" customHeight="1" x14ac:dyDescent="0.25">
      <c r="A3" s="174" t="s">
        <v>31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8" x14ac:dyDescent="0.25">
      <c r="A4" s="5"/>
      <c r="B4" s="5"/>
      <c r="C4" s="5"/>
      <c r="D4" s="5"/>
      <c r="E4" s="29"/>
      <c r="F4" s="5"/>
      <c r="G4" s="29"/>
      <c r="H4" s="5"/>
      <c r="I4" s="5"/>
      <c r="J4" s="6"/>
      <c r="K4" s="6"/>
    </row>
    <row r="5" spans="1:11" ht="25.5" x14ac:dyDescent="0.25">
      <c r="A5" s="201" t="s">
        <v>33</v>
      </c>
      <c r="B5" s="202"/>
      <c r="C5" s="203"/>
      <c r="D5" s="24" t="s">
        <v>34</v>
      </c>
      <c r="E5" s="24" t="s">
        <v>153</v>
      </c>
      <c r="F5" s="24" t="s">
        <v>151</v>
      </c>
      <c r="G5" s="24" t="s">
        <v>155</v>
      </c>
      <c r="H5" s="24" t="s">
        <v>152</v>
      </c>
      <c r="I5" s="24" t="s">
        <v>119</v>
      </c>
      <c r="J5" s="24" t="s">
        <v>120</v>
      </c>
      <c r="K5" s="24" t="s">
        <v>51</v>
      </c>
    </row>
    <row r="6" spans="1:11" x14ac:dyDescent="0.25">
      <c r="A6" s="210" t="s">
        <v>121</v>
      </c>
      <c r="B6" s="211"/>
      <c r="C6" s="212"/>
      <c r="D6" s="32" t="s">
        <v>40</v>
      </c>
      <c r="E6" s="10"/>
      <c r="F6" s="10"/>
      <c r="G6" s="10"/>
      <c r="H6" s="10"/>
      <c r="I6" s="10"/>
      <c r="J6" s="10"/>
      <c r="K6" s="10"/>
    </row>
    <row r="7" spans="1:11" x14ac:dyDescent="0.25">
      <c r="A7" s="210" t="s">
        <v>154</v>
      </c>
      <c r="B7" s="211"/>
      <c r="C7" s="212"/>
      <c r="D7" s="32" t="s">
        <v>20</v>
      </c>
      <c r="E7" s="10"/>
      <c r="F7" s="10"/>
      <c r="G7" s="10"/>
      <c r="H7" s="10"/>
      <c r="I7" s="10"/>
      <c r="J7" s="10"/>
      <c r="K7" s="10"/>
    </row>
    <row r="8" spans="1:11" x14ac:dyDescent="0.25">
      <c r="A8" s="204">
        <v>11</v>
      </c>
      <c r="B8" s="205"/>
      <c r="C8" s="206"/>
      <c r="D8" s="106" t="s">
        <v>20</v>
      </c>
      <c r="E8" s="10"/>
      <c r="F8" s="10"/>
      <c r="G8" s="10"/>
      <c r="H8" s="10"/>
      <c r="I8" s="10"/>
      <c r="J8" s="10"/>
      <c r="K8" s="10"/>
    </row>
    <row r="9" spans="1:11" x14ac:dyDescent="0.25">
      <c r="A9" s="207">
        <v>3</v>
      </c>
      <c r="B9" s="208"/>
      <c r="C9" s="209"/>
      <c r="D9" s="62" t="s">
        <v>23</v>
      </c>
      <c r="E9" s="108">
        <f t="shared" ref="E9:K9" si="0">SUM(E10+E20)</f>
        <v>9600</v>
      </c>
      <c r="F9" s="108">
        <f t="shared" si="0"/>
        <v>1274.1389607804101</v>
      </c>
      <c r="G9" s="108">
        <f t="shared" si="0"/>
        <v>9600</v>
      </c>
      <c r="H9" s="108">
        <f t="shared" si="0"/>
        <v>1274.1389607804101</v>
      </c>
      <c r="I9" s="108">
        <f t="shared" si="0"/>
        <v>1274.1389607804101</v>
      </c>
      <c r="J9" s="108">
        <f t="shared" si="0"/>
        <v>1274.1389607804101</v>
      </c>
      <c r="K9" s="108">
        <f t="shared" si="0"/>
        <v>1274.1389607804101</v>
      </c>
    </row>
    <row r="10" spans="1:11" x14ac:dyDescent="0.25">
      <c r="A10" s="213">
        <v>31</v>
      </c>
      <c r="B10" s="214"/>
      <c r="C10" s="215"/>
      <c r="D10" s="57" t="s">
        <v>24</v>
      </c>
      <c r="E10" s="109">
        <f t="shared" ref="E10:K10" si="1">SUM(E11+E15+E17)</f>
        <v>9600</v>
      </c>
      <c r="F10" s="109">
        <f t="shared" si="1"/>
        <v>1274.1389607804101</v>
      </c>
      <c r="G10" s="109">
        <f t="shared" si="1"/>
        <v>9600</v>
      </c>
      <c r="H10" s="109">
        <f t="shared" si="1"/>
        <v>1274.1389607804101</v>
      </c>
      <c r="I10" s="109">
        <f t="shared" si="1"/>
        <v>1274.1389607804101</v>
      </c>
      <c r="J10" s="109">
        <f t="shared" si="1"/>
        <v>1274.1389607804101</v>
      </c>
      <c r="K10" s="109">
        <f t="shared" si="1"/>
        <v>1274.1389607804101</v>
      </c>
    </row>
    <row r="11" spans="1:11" x14ac:dyDescent="0.25">
      <c r="A11" s="52">
        <v>311</v>
      </c>
      <c r="B11" s="53"/>
      <c r="C11" s="54"/>
      <c r="D11" s="55" t="s">
        <v>60</v>
      </c>
      <c r="E11" s="110">
        <f t="shared" ref="E11:K11" si="2">SUM(E12:E14)</f>
        <v>8240</v>
      </c>
      <c r="F11" s="110">
        <f t="shared" si="2"/>
        <v>1093.6359413365187</v>
      </c>
      <c r="G11" s="110">
        <f t="shared" si="2"/>
        <v>8240</v>
      </c>
      <c r="H11" s="110">
        <f t="shared" si="2"/>
        <v>1093.6359413365187</v>
      </c>
      <c r="I11" s="110">
        <f t="shared" si="2"/>
        <v>1093.6359413365187</v>
      </c>
      <c r="J11" s="110">
        <f t="shared" si="2"/>
        <v>1093.6359413365187</v>
      </c>
      <c r="K11" s="110">
        <f t="shared" si="2"/>
        <v>1093.6359413365187</v>
      </c>
    </row>
    <row r="12" spans="1:11" x14ac:dyDescent="0.25">
      <c r="A12" s="49">
        <v>3111</v>
      </c>
      <c r="B12" s="50"/>
      <c r="C12" s="51"/>
      <c r="D12" s="48" t="s">
        <v>72</v>
      </c>
      <c r="E12" s="107">
        <v>8240</v>
      </c>
      <c r="F12" s="107">
        <f>8240/7.5345</f>
        <v>1093.6359413365187</v>
      </c>
      <c r="G12" s="107">
        <v>8240</v>
      </c>
      <c r="H12" s="107">
        <f>8240/7.5345</f>
        <v>1093.6359413365187</v>
      </c>
      <c r="I12" s="107">
        <f>8240/7.5345</f>
        <v>1093.6359413365187</v>
      </c>
      <c r="J12" s="107">
        <f>8240/7.5345</f>
        <v>1093.6359413365187</v>
      </c>
      <c r="K12" s="107">
        <f>8240/7.5345</f>
        <v>1093.6359413365187</v>
      </c>
    </row>
    <row r="13" spans="1:11" x14ac:dyDescent="0.25">
      <c r="A13" s="49">
        <v>3113</v>
      </c>
      <c r="B13" s="50"/>
      <c r="C13" s="51"/>
      <c r="D13" s="48" t="s">
        <v>73</v>
      </c>
      <c r="E13" s="107"/>
      <c r="F13" s="107"/>
      <c r="G13" s="107"/>
      <c r="H13" s="107"/>
      <c r="I13" s="107"/>
      <c r="J13" s="107"/>
      <c r="K13" s="107"/>
    </row>
    <row r="14" spans="1:11" x14ac:dyDescent="0.25">
      <c r="A14" s="49">
        <v>3114</v>
      </c>
      <c r="B14" s="50"/>
      <c r="C14" s="51"/>
      <c r="D14" s="48" t="s">
        <v>74</v>
      </c>
      <c r="E14" s="107"/>
      <c r="F14" s="107"/>
      <c r="G14" s="107"/>
      <c r="H14" s="107"/>
      <c r="I14" s="107"/>
      <c r="J14" s="107"/>
      <c r="K14" s="107"/>
    </row>
    <row r="15" spans="1:11" x14ac:dyDescent="0.25">
      <c r="A15" s="52">
        <v>312</v>
      </c>
      <c r="B15" s="53"/>
      <c r="C15" s="54"/>
      <c r="D15" s="55" t="s">
        <v>75</v>
      </c>
      <c r="E15" s="110">
        <f t="shared" ref="E15:K15" si="3">SUM(E16)</f>
        <v>0</v>
      </c>
      <c r="F15" s="110">
        <f t="shared" si="3"/>
        <v>0</v>
      </c>
      <c r="G15" s="110">
        <f t="shared" si="3"/>
        <v>0</v>
      </c>
      <c r="H15" s="110">
        <f t="shared" si="3"/>
        <v>0</v>
      </c>
      <c r="I15" s="110">
        <f t="shared" si="3"/>
        <v>0</v>
      </c>
      <c r="J15" s="110">
        <f t="shared" si="3"/>
        <v>0</v>
      </c>
      <c r="K15" s="110">
        <f t="shared" si="3"/>
        <v>0</v>
      </c>
    </row>
    <row r="16" spans="1:11" x14ac:dyDescent="0.25">
      <c r="A16" s="49">
        <v>3121</v>
      </c>
      <c r="B16" s="50"/>
      <c r="C16" s="51"/>
      <c r="D16" s="48" t="s">
        <v>76</v>
      </c>
      <c r="E16" s="107"/>
      <c r="F16" s="107"/>
      <c r="G16" s="107"/>
      <c r="H16" s="107"/>
      <c r="I16" s="107"/>
      <c r="J16" s="107"/>
      <c r="K16" s="107"/>
    </row>
    <row r="17" spans="1:11" x14ac:dyDescent="0.25">
      <c r="A17" s="52">
        <v>313</v>
      </c>
      <c r="B17" s="53"/>
      <c r="C17" s="54"/>
      <c r="D17" s="55" t="s">
        <v>61</v>
      </c>
      <c r="E17" s="110">
        <f t="shared" ref="E17:K17" si="4">SUM(E18:E19)</f>
        <v>1360</v>
      </c>
      <c r="F17" s="110">
        <f t="shared" si="4"/>
        <v>180.50301944389142</v>
      </c>
      <c r="G17" s="110">
        <f t="shared" si="4"/>
        <v>1360</v>
      </c>
      <c r="H17" s="110">
        <f t="shared" si="4"/>
        <v>180.50301944389142</v>
      </c>
      <c r="I17" s="110">
        <f t="shared" si="4"/>
        <v>180.50301944389142</v>
      </c>
      <c r="J17" s="110">
        <f t="shared" si="4"/>
        <v>180.50301944389142</v>
      </c>
      <c r="K17" s="110">
        <f t="shared" si="4"/>
        <v>180.50301944389142</v>
      </c>
    </row>
    <row r="18" spans="1:11" x14ac:dyDescent="0.25">
      <c r="A18" s="49">
        <v>3131</v>
      </c>
      <c r="B18" s="50"/>
      <c r="C18" s="51"/>
      <c r="D18" s="48" t="s">
        <v>77</v>
      </c>
      <c r="E18" s="107"/>
      <c r="F18" s="107"/>
      <c r="G18" s="107"/>
      <c r="H18" s="107"/>
      <c r="I18" s="107"/>
      <c r="J18" s="107"/>
      <c r="K18" s="107"/>
    </row>
    <row r="19" spans="1:11" ht="25.5" x14ac:dyDescent="0.25">
      <c r="A19" s="49">
        <v>3132</v>
      </c>
      <c r="B19" s="50"/>
      <c r="C19" s="51"/>
      <c r="D19" s="48" t="s">
        <v>78</v>
      </c>
      <c r="E19" s="107">
        <v>1360</v>
      </c>
      <c r="F19" s="107">
        <f>1360/7.5345</f>
        <v>180.50301944389142</v>
      </c>
      <c r="G19" s="107">
        <v>1360</v>
      </c>
      <c r="H19" s="107">
        <f t="shared" ref="H19:K19" si="5">1360/7.5345</f>
        <v>180.50301944389142</v>
      </c>
      <c r="I19" s="107">
        <f t="shared" si="5"/>
        <v>180.50301944389142</v>
      </c>
      <c r="J19" s="107">
        <f t="shared" si="5"/>
        <v>180.50301944389142</v>
      </c>
      <c r="K19" s="107">
        <f t="shared" si="5"/>
        <v>180.50301944389142</v>
      </c>
    </row>
    <row r="20" spans="1:11" x14ac:dyDescent="0.25">
      <c r="A20" s="213">
        <v>32</v>
      </c>
      <c r="B20" s="214"/>
      <c r="C20" s="215"/>
      <c r="D20" s="57" t="s">
        <v>35</v>
      </c>
      <c r="E20" s="58">
        <f t="shared" ref="E20:K20" si="6">SUM(E21)</f>
        <v>0</v>
      </c>
      <c r="F20" s="58">
        <f t="shared" si="6"/>
        <v>0</v>
      </c>
      <c r="G20" s="58">
        <f t="shared" si="6"/>
        <v>0</v>
      </c>
      <c r="H20" s="58">
        <f t="shared" si="6"/>
        <v>0</v>
      </c>
      <c r="I20" s="58">
        <f t="shared" si="6"/>
        <v>0</v>
      </c>
      <c r="J20" s="58">
        <f t="shared" si="6"/>
        <v>0</v>
      </c>
      <c r="K20" s="58">
        <f t="shared" si="6"/>
        <v>0</v>
      </c>
    </row>
    <row r="21" spans="1:11" x14ac:dyDescent="0.25">
      <c r="A21" s="52">
        <v>321</v>
      </c>
      <c r="B21" s="53"/>
      <c r="C21" s="54"/>
      <c r="D21" s="55" t="s">
        <v>62</v>
      </c>
      <c r="E21" s="56">
        <f t="shared" ref="E21:K21" si="7">SUM(E22:E25)</f>
        <v>0</v>
      </c>
      <c r="F21" s="56">
        <f t="shared" si="7"/>
        <v>0</v>
      </c>
      <c r="G21" s="56">
        <f t="shared" si="7"/>
        <v>0</v>
      </c>
      <c r="H21" s="56">
        <f t="shared" si="7"/>
        <v>0</v>
      </c>
      <c r="I21" s="56">
        <f t="shared" si="7"/>
        <v>0</v>
      </c>
      <c r="J21" s="56">
        <f t="shared" si="7"/>
        <v>0</v>
      </c>
      <c r="K21" s="56">
        <f t="shared" si="7"/>
        <v>0</v>
      </c>
    </row>
    <row r="22" spans="1:11" x14ac:dyDescent="0.25">
      <c r="A22" s="49">
        <v>3211</v>
      </c>
      <c r="B22" s="50"/>
      <c r="C22" s="51"/>
      <c r="D22" s="48" t="s">
        <v>79</v>
      </c>
      <c r="E22" s="10"/>
      <c r="F22" s="10"/>
      <c r="G22" s="10"/>
      <c r="H22" s="10"/>
      <c r="I22" s="10"/>
      <c r="J22" s="10"/>
      <c r="K22" s="10"/>
    </row>
    <row r="23" spans="1:11" ht="25.5" x14ac:dyDescent="0.25">
      <c r="A23" s="49">
        <v>3212</v>
      </c>
      <c r="B23" s="50"/>
      <c r="C23" s="51"/>
      <c r="D23" s="48" t="s">
        <v>150</v>
      </c>
      <c r="E23" s="10"/>
      <c r="F23" s="10"/>
      <c r="G23" s="10"/>
      <c r="H23" s="10"/>
      <c r="I23" s="10"/>
      <c r="J23" s="10"/>
      <c r="K23" s="10"/>
    </row>
    <row r="24" spans="1:11" x14ac:dyDescent="0.25">
      <c r="A24" s="49">
        <v>3213</v>
      </c>
      <c r="B24" s="50"/>
      <c r="C24" s="51"/>
      <c r="D24" s="48" t="s">
        <v>81</v>
      </c>
      <c r="E24" s="10"/>
      <c r="F24" s="10"/>
      <c r="G24" s="10"/>
      <c r="H24" s="10"/>
      <c r="I24" s="10"/>
      <c r="J24" s="10"/>
      <c r="K24" s="10"/>
    </row>
    <row r="25" spans="1:11" ht="25.5" x14ac:dyDescent="0.25">
      <c r="A25" s="49">
        <v>3214</v>
      </c>
      <c r="B25" s="50"/>
      <c r="C25" s="51"/>
      <c r="D25" s="48" t="s">
        <v>82</v>
      </c>
      <c r="E25" s="10"/>
      <c r="F25" s="10"/>
      <c r="G25" s="10"/>
      <c r="H25" s="10"/>
      <c r="I25" s="10"/>
      <c r="J25" s="10"/>
      <c r="K25" s="10"/>
    </row>
    <row r="26" spans="1:11" x14ac:dyDescent="0.25">
      <c r="A26" s="49"/>
      <c r="B26" s="50"/>
      <c r="C26" s="51"/>
      <c r="D26" s="63" t="s">
        <v>118</v>
      </c>
      <c r="E26" s="64">
        <f t="shared" ref="E26:K26" si="8">SUM(E9)</f>
        <v>9600</v>
      </c>
      <c r="F26" s="64">
        <f t="shared" si="8"/>
        <v>1274.1389607804101</v>
      </c>
      <c r="G26" s="64">
        <f t="shared" si="8"/>
        <v>9600</v>
      </c>
      <c r="H26" s="64">
        <f t="shared" si="8"/>
        <v>1274.1389607804101</v>
      </c>
      <c r="I26" s="64">
        <f t="shared" si="8"/>
        <v>1274.1389607804101</v>
      </c>
      <c r="J26" s="64">
        <f t="shared" si="8"/>
        <v>1274.1389607804101</v>
      </c>
      <c r="K26" s="64">
        <f t="shared" si="8"/>
        <v>1274.1389607804101</v>
      </c>
    </row>
    <row r="27" spans="1:11" x14ac:dyDescent="0.25">
      <c r="A27" s="66"/>
      <c r="B27" s="67"/>
      <c r="C27" s="68"/>
      <c r="D27" s="65"/>
      <c r="E27" s="10"/>
      <c r="F27" s="10"/>
      <c r="G27" s="10"/>
      <c r="H27" s="10"/>
      <c r="I27" s="10"/>
      <c r="J27" s="10"/>
      <c r="K27" s="10"/>
    </row>
    <row r="28" spans="1:11" ht="25.5" x14ac:dyDescent="0.25">
      <c r="A28" s="201" t="s">
        <v>33</v>
      </c>
      <c r="B28" s="202"/>
      <c r="C28" s="203"/>
      <c r="D28" s="24" t="s">
        <v>34</v>
      </c>
      <c r="E28" s="24" t="s">
        <v>153</v>
      </c>
      <c r="F28" s="24" t="s">
        <v>151</v>
      </c>
      <c r="G28" s="24" t="s">
        <v>155</v>
      </c>
      <c r="H28" s="24" t="s">
        <v>152</v>
      </c>
      <c r="I28" s="24" t="s">
        <v>119</v>
      </c>
      <c r="J28" s="24" t="s">
        <v>120</v>
      </c>
      <c r="K28" s="24" t="s">
        <v>51</v>
      </c>
    </row>
    <row r="29" spans="1:11" ht="15" customHeight="1" x14ac:dyDescent="0.25">
      <c r="A29" s="210" t="s">
        <v>121</v>
      </c>
      <c r="B29" s="211"/>
      <c r="C29" s="212"/>
      <c r="D29" s="115" t="s">
        <v>40</v>
      </c>
      <c r="E29" s="10"/>
      <c r="F29" s="10"/>
      <c r="G29" s="10"/>
      <c r="H29" s="10"/>
      <c r="I29" s="10"/>
      <c r="J29" s="10"/>
      <c r="K29" s="10"/>
    </row>
    <row r="30" spans="1:11" ht="14.25" customHeight="1" x14ac:dyDescent="0.25">
      <c r="A30" s="210" t="s">
        <v>160</v>
      </c>
      <c r="B30" s="211"/>
      <c r="C30" s="212"/>
      <c r="D30" s="115" t="s">
        <v>167</v>
      </c>
      <c r="E30" s="10"/>
      <c r="F30" s="10"/>
      <c r="G30" s="10"/>
      <c r="H30" s="10"/>
      <c r="I30" s="10"/>
      <c r="J30" s="10"/>
      <c r="K30" s="10"/>
    </row>
    <row r="31" spans="1:11" ht="15" customHeight="1" x14ac:dyDescent="0.25">
      <c r="A31" s="204">
        <v>31</v>
      </c>
      <c r="B31" s="205"/>
      <c r="C31" s="206"/>
      <c r="D31" s="116" t="s">
        <v>161</v>
      </c>
      <c r="E31" s="10"/>
      <c r="F31" s="10"/>
      <c r="G31" s="10"/>
      <c r="H31" s="10"/>
      <c r="I31" s="10"/>
      <c r="J31" s="10"/>
      <c r="K31" s="10"/>
    </row>
    <row r="32" spans="1:11" x14ac:dyDescent="0.25">
      <c r="A32" s="207">
        <v>3</v>
      </c>
      <c r="B32" s="208"/>
      <c r="C32" s="209"/>
      <c r="D32" s="62" t="s">
        <v>23</v>
      </c>
      <c r="E32" s="121">
        <f>SUM(E33)</f>
        <v>4890</v>
      </c>
      <c r="F32" s="121">
        <f t="shared" ref="F32:K32" si="9">SUM(F33)</f>
        <v>649.01453314752143</v>
      </c>
      <c r="G32" s="121">
        <f t="shared" si="9"/>
        <v>5000</v>
      </c>
      <c r="H32" s="121">
        <f t="shared" si="9"/>
        <v>663.61404207313024</v>
      </c>
      <c r="I32" s="121">
        <f t="shared" si="9"/>
        <v>730</v>
      </c>
      <c r="J32" s="121">
        <f t="shared" si="9"/>
        <v>740</v>
      </c>
      <c r="K32" s="121">
        <f t="shared" si="9"/>
        <v>740</v>
      </c>
    </row>
    <row r="33" spans="1:11" x14ac:dyDescent="0.25">
      <c r="A33" s="213">
        <v>32</v>
      </c>
      <c r="B33" s="214"/>
      <c r="C33" s="215"/>
      <c r="D33" s="57" t="s">
        <v>35</v>
      </c>
      <c r="E33" s="122">
        <f>SUM(E34+E39+E47)</f>
        <v>4890</v>
      </c>
      <c r="F33" s="122">
        <f t="shared" ref="F33:K33" si="10">SUM(F34+F39+F47)</f>
        <v>649.01453314752143</v>
      </c>
      <c r="G33" s="122">
        <f t="shared" si="10"/>
        <v>5000</v>
      </c>
      <c r="H33" s="122">
        <f t="shared" si="10"/>
        <v>663.61404207313024</v>
      </c>
      <c r="I33" s="122">
        <f t="shared" si="10"/>
        <v>730</v>
      </c>
      <c r="J33" s="122">
        <f t="shared" si="10"/>
        <v>740</v>
      </c>
      <c r="K33" s="122">
        <f t="shared" si="10"/>
        <v>740</v>
      </c>
    </row>
    <row r="34" spans="1:11" x14ac:dyDescent="0.25">
      <c r="A34" s="52">
        <v>321</v>
      </c>
      <c r="B34" s="53"/>
      <c r="C34" s="54"/>
      <c r="D34" s="55" t="s">
        <v>62</v>
      </c>
      <c r="E34" s="123">
        <f t="shared" ref="E34:K34" si="11">SUM(E35:E38)</f>
        <v>0</v>
      </c>
      <c r="F34" s="123">
        <f t="shared" si="11"/>
        <v>0</v>
      </c>
      <c r="G34" s="123">
        <f t="shared" si="11"/>
        <v>0</v>
      </c>
      <c r="H34" s="123">
        <f t="shared" si="11"/>
        <v>0</v>
      </c>
      <c r="I34" s="123">
        <f t="shared" si="11"/>
        <v>0</v>
      </c>
      <c r="J34" s="123">
        <f t="shared" si="11"/>
        <v>0</v>
      </c>
      <c r="K34" s="123">
        <f t="shared" si="11"/>
        <v>0</v>
      </c>
    </row>
    <row r="35" spans="1:11" x14ac:dyDescent="0.25">
      <c r="A35" s="49">
        <v>3211</v>
      </c>
      <c r="B35" s="50"/>
      <c r="C35" s="51"/>
      <c r="D35" s="48" t="s">
        <v>79</v>
      </c>
      <c r="E35" s="124"/>
      <c r="F35" s="124"/>
      <c r="G35" s="124"/>
      <c r="H35" s="124"/>
      <c r="I35" s="124"/>
      <c r="J35" s="124"/>
      <c r="K35" s="124"/>
    </row>
    <row r="36" spans="1:11" ht="25.5" x14ac:dyDescent="0.25">
      <c r="A36" s="49">
        <v>3212</v>
      </c>
      <c r="B36" s="50"/>
      <c r="C36" s="51"/>
      <c r="D36" s="48" t="s">
        <v>150</v>
      </c>
      <c r="E36" s="124"/>
      <c r="F36" s="124"/>
      <c r="G36" s="124"/>
      <c r="H36" s="124"/>
      <c r="I36" s="124"/>
      <c r="J36" s="124"/>
      <c r="K36" s="124"/>
    </row>
    <row r="37" spans="1:11" x14ac:dyDescent="0.25">
      <c r="A37" s="49">
        <v>3213</v>
      </c>
      <c r="B37" s="50"/>
      <c r="C37" s="51"/>
      <c r="D37" s="48" t="s">
        <v>81</v>
      </c>
      <c r="E37" s="124"/>
      <c r="F37" s="124"/>
      <c r="G37" s="124"/>
      <c r="H37" s="124"/>
      <c r="I37" s="124"/>
      <c r="J37" s="124"/>
      <c r="K37" s="124"/>
    </row>
    <row r="38" spans="1:11" ht="25.5" x14ac:dyDescent="0.25">
      <c r="A38" s="49">
        <v>3214</v>
      </c>
      <c r="B38" s="50"/>
      <c r="C38" s="51"/>
      <c r="D38" s="48" t="s">
        <v>82</v>
      </c>
      <c r="E38" s="124"/>
      <c r="F38" s="124"/>
      <c r="G38" s="124"/>
      <c r="H38" s="124"/>
      <c r="I38" s="124"/>
      <c r="J38" s="124"/>
      <c r="K38" s="124"/>
    </row>
    <row r="39" spans="1:11" x14ac:dyDescent="0.25">
      <c r="A39" s="52">
        <v>322</v>
      </c>
      <c r="B39" s="53"/>
      <c r="C39" s="54"/>
      <c r="D39" s="55" t="s">
        <v>63</v>
      </c>
      <c r="E39" s="123">
        <f t="shared" ref="E39:K39" si="12">SUM(E40:E46)</f>
        <v>4890</v>
      </c>
      <c r="F39" s="123">
        <f t="shared" si="12"/>
        <v>649.01453314752143</v>
      </c>
      <c r="G39" s="123">
        <f t="shared" si="12"/>
        <v>5000</v>
      </c>
      <c r="H39" s="123">
        <f t="shared" si="12"/>
        <v>663.61404207313024</v>
      </c>
      <c r="I39" s="123">
        <f t="shared" si="12"/>
        <v>530</v>
      </c>
      <c r="J39" s="123">
        <f t="shared" si="12"/>
        <v>535</v>
      </c>
      <c r="K39" s="123">
        <f t="shared" si="12"/>
        <v>535</v>
      </c>
    </row>
    <row r="40" spans="1:11" ht="25.5" x14ac:dyDescent="0.25">
      <c r="A40" s="49">
        <v>3221</v>
      </c>
      <c r="B40" s="50"/>
      <c r="C40" s="51"/>
      <c r="D40" s="48" t="s">
        <v>83</v>
      </c>
      <c r="E40" s="124"/>
      <c r="F40" s="124"/>
      <c r="G40" s="124"/>
      <c r="H40" s="124"/>
      <c r="I40" s="124"/>
      <c r="J40" s="124"/>
      <c r="K40" s="124"/>
    </row>
    <row r="41" spans="1:11" x14ac:dyDescent="0.25">
      <c r="A41" s="49">
        <v>3222</v>
      </c>
      <c r="B41" s="50"/>
      <c r="C41" s="51"/>
      <c r="D41" s="48" t="s">
        <v>84</v>
      </c>
      <c r="E41" s="124">
        <v>2890</v>
      </c>
      <c r="F41" s="124">
        <f>E41/7.5345</f>
        <v>383.56891631826926</v>
      </c>
      <c r="G41" s="124">
        <v>3000</v>
      </c>
      <c r="H41" s="124">
        <f>G41/7.5345</f>
        <v>398.16842524387812</v>
      </c>
      <c r="I41" s="124">
        <v>230</v>
      </c>
      <c r="J41" s="124">
        <v>230</v>
      </c>
      <c r="K41" s="124">
        <v>230</v>
      </c>
    </row>
    <row r="42" spans="1:11" x14ac:dyDescent="0.25">
      <c r="A42" s="49">
        <v>3223</v>
      </c>
      <c r="B42" s="50"/>
      <c r="C42" s="51"/>
      <c r="D42" s="48" t="s">
        <v>85</v>
      </c>
      <c r="E42" s="124">
        <v>2000</v>
      </c>
      <c r="F42" s="124">
        <f>E42/7.5345</f>
        <v>265.44561682925212</v>
      </c>
      <c r="G42" s="124">
        <v>2000</v>
      </c>
      <c r="H42" s="124">
        <f>G42/7.5345</f>
        <v>265.44561682925212</v>
      </c>
      <c r="I42" s="124">
        <v>300</v>
      </c>
      <c r="J42" s="124">
        <v>305</v>
      </c>
      <c r="K42" s="124">
        <v>305</v>
      </c>
    </row>
    <row r="43" spans="1:11" ht="25.5" x14ac:dyDescent="0.25">
      <c r="A43" s="49">
        <v>3224</v>
      </c>
      <c r="B43" s="50"/>
      <c r="C43" s="51"/>
      <c r="D43" s="48" t="s">
        <v>86</v>
      </c>
      <c r="E43" s="124"/>
      <c r="F43" s="124"/>
      <c r="G43" s="124"/>
      <c r="H43" s="124"/>
      <c r="I43" s="124"/>
      <c r="J43" s="124"/>
      <c r="K43" s="124"/>
    </row>
    <row r="44" spans="1:11" x14ac:dyDescent="0.25">
      <c r="A44" s="49">
        <v>3225</v>
      </c>
      <c r="B44" s="50"/>
      <c r="C44" s="51"/>
      <c r="D44" s="48" t="s">
        <v>87</v>
      </c>
      <c r="E44" s="124"/>
      <c r="F44" s="124"/>
      <c r="G44" s="124"/>
      <c r="H44" s="124"/>
      <c r="I44" s="124"/>
      <c r="J44" s="124"/>
      <c r="K44" s="124"/>
    </row>
    <row r="45" spans="1:11" ht="25.5" x14ac:dyDescent="0.25">
      <c r="A45" s="49">
        <v>3226</v>
      </c>
      <c r="B45" s="50"/>
      <c r="C45" s="51"/>
      <c r="D45" s="48" t="s">
        <v>88</v>
      </c>
      <c r="E45" s="124"/>
      <c r="F45" s="124"/>
      <c r="G45" s="124"/>
      <c r="H45" s="124"/>
      <c r="I45" s="124"/>
      <c r="J45" s="124"/>
      <c r="K45" s="124"/>
    </row>
    <row r="46" spans="1:11" ht="25.5" x14ac:dyDescent="0.25">
      <c r="A46" s="49">
        <v>3227</v>
      </c>
      <c r="B46" s="50"/>
      <c r="C46" s="51"/>
      <c r="D46" s="48" t="s">
        <v>89</v>
      </c>
      <c r="E46" s="124"/>
      <c r="F46" s="124"/>
      <c r="G46" s="124"/>
      <c r="H46" s="124"/>
      <c r="I46" s="124"/>
      <c r="J46" s="124"/>
      <c r="K46" s="124"/>
    </row>
    <row r="47" spans="1:11" x14ac:dyDescent="0.25">
      <c r="A47" s="52">
        <v>323</v>
      </c>
      <c r="B47" s="53"/>
      <c r="C47" s="54"/>
      <c r="D47" s="55" t="s">
        <v>64</v>
      </c>
      <c r="E47" s="123">
        <f t="shared" ref="E47:K47" si="13">SUM(E48:E56)</f>
        <v>0</v>
      </c>
      <c r="F47" s="123">
        <f t="shared" si="13"/>
        <v>0</v>
      </c>
      <c r="G47" s="123">
        <f t="shared" si="13"/>
        <v>0</v>
      </c>
      <c r="H47" s="123">
        <f t="shared" si="13"/>
        <v>0</v>
      </c>
      <c r="I47" s="123">
        <f t="shared" si="13"/>
        <v>200</v>
      </c>
      <c r="J47" s="123">
        <f t="shared" si="13"/>
        <v>205</v>
      </c>
      <c r="K47" s="123">
        <f t="shared" si="13"/>
        <v>205</v>
      </c>
    </row>
    <row r="48" spans="1:11" x14ac:dyDescent="0.25">
      <c r="A48" s="49">
        <v>3231</v>
      </c>
      <c r="B48" s="50"/>
      <c r="C48" s="51"/>
      <c r="D48" s="48" t="s">
        <v>90</v>
      </c>
      <c r="E48" s="124"/>
      <c r="F48" s="124"/>
      <c r="G48" s="124"/>
      <c r="H48" s="124"/>
      <c r="I48" s="124"/>
      <c r="J48" s="124"/>
      <c r="K48" s="124"/>
    </row>
    <row r="49" spans="1:11" ht="25.5" x14ac:dyDescent="0.25">
      <c r="A49" s="49">
        <v>3232</v>
      </c>
      <c r="B49" s="50"/>
      <c r="C49" s="51"/>
      <c r="D49" s="48" t="s">
        <v>91</v>
      </c>
      <c r="E49" s="124"/>
      <c r="F49" s="124"/>
      <c r="G49" s="124"/>
      <c r="H49" s="124"/>
      <c r="I49" s="124"/>
      <c r="J49" s="124"/>
      <c r="K49" s="124"/>
    </row>
    <row r="50" spans="1:11" x14ac:dyDescent="0.25">
      <c r="A50" s="49">
        <v>3233</v>
      </c>
      <c r="B50" s="50"/>
      <c r="C50" s="51"/>
      <c r="D50" s="48" t="s">
        <v>92</v>
      </c>
      <c r="E50" s="124"/>
      <c r="F50" s="124"/>
      <c r="G50" s="124"/>
      <c r="H50" s="124"/>
      <c r="I50" s="124"/>
      <c r="J50" s="124"/>
      <c r="K50" s="124"/>
    </row>
    <row r="51" spans="1:11" x14ac:dyDescent="0.25">
      <c r="A51" s="49">
        <v>3234</v>
      </c>
      <c r="B51" s="50"/>
      <c r="C51" s="51"/>
      <c r="D51" s="48" t="s">
        <v>93</v>
      </c>
      <c r="E51" s="124"/>
      <c r="F51" s="124"/>
      <c r="G51" s="124"/>
      <c r="H51" s="124"/>
      <c r="I51" s="124"/>
      <c r="J51" s="124"/>
      <c r="K51" s="124"/>
    </row>
    <row r="52" spans="1:11" x14ac:dyDescent="0.25">
      <c r="A52" s="49">
        <v>3235</v>
      </c>
      <c r="B52" s="50"/>
      <c r="C52" s="51"/>
      <c r="D52" s="48" t="s">
        <v>94</v>
      </c>
      <c r="E52" s="124"/>
      <c r="F52" s="124"/>
      <c r="G52" s="124"/>
      <c r="H52" s="124"/>
      <c r="I52" s="124"/>
      <c r="J52" s="124"/>
      <c r="K52" s="124"/>
    </row>
    <row r="53" spans="1:11" x14ac:dyDescent="0.25">
      <c r="A53" s="49">
        <v>3236</v>
      </c>
      <c r="B53" s="50"/>
      <c r="C53" s="51"/>
      <c r="D53" s="48" t="s">
        <v>95</v>
      </c>
      <c r="E53" s="124"/>
      <c r="F53" s="124"/>
      <c r="G53" s="124"/>
      <c r="H53" s="124"/>
      <c r="I53" s="124"/>
      <c r="J53" s="124"/>
      <c r="K53" s="124"/>
    </row>
    <row r="54" spans="1:11" x14ac:dyDescent="0.25">
      <c r="A54" s="49">
        <v>3237</v>
      </c>
      <c r="B54" s="50"/>
      <c r="C54" s="51"/>
      <c r="D54" s="48" t="s">
        <v>96</v>
      </c>
      <c r="E54" s="124"/>
      <c r="F54" s="124"/>
      <c r="G54" s="124"/>
      <c r="H54" s="124"/>
      <c r="I54" s="124"/>
      <c r="J54" s="124"/>
      <c r="K54" s="124"/>
    </row>
    <row r="55" spans="1:11" x14ac:dyDescent="0.25">
      <c r="A55" s="49">
        <v>3238</v>
      </c>
      <c r="B55" s="50"/>
      <c r="C55" s="51"/>
      <c r="D55" s="48" t="s">
        <v>97</v>
      </c>
      <c r="E55" s="124"/>
      <c r="F55" s="124"/>
      <c r="G55" s="124"/>
      <c r="H55" s="124"/>
      <c r="I55" s="124"/>
      <c r="J55" s="124"/>
      <c r="K55" s="124"/>
    </row>
    <row r="56" spans="1:11" x14ac:dyDescent="0.25">
      <c r="A56" s="49">
        <v>3239</v>
      </c>
      <c r="B56" s="50"/>
      <c r="C56" s="51"/>
      <c r="D56" s="48" t="s">
        <v>98</v>
      </c>
      <c r="E56" s="124"/>
      <c r="F56" s="124"/>
      <c r="G56" s="124"/>
      <c r="H56" s="124"/>
      <c r="I56" s="124">
        <v>200</v>
      </c>
      <c r="J56" s="124">
        <v>205</v>
      </c>
      <c r="K56" s="124">
        <v>205</v>
      </c>
    </row>
    <row r="57" spans="1:11" x14ac:dyDescent="0.25">
      <c r="A57" s="49"/>
      <c r="B57" s="50"/>
      <c r="C57" s="51"/>
      <c r="D57" s="48"/>
      <c r="E57" s="124"/>
      <c r="F57" s="124"/>
      <c r="G57" s="124"/>
      <c r="H57" s="124"/>
      <c r="I57" s="124"/>
      <c r="J57" s="124"/>
      <c r="K57" s="124"/>
    </row>
    <row r="58" spans="1:11" x14ac:dyDescent="0.25">
      <c r="A58" s="49"/>
      <c r="B58" s="50"/>
      <c r="C58" s="51"/>
      <c r="D58" s="63" t="s">
        <v>118</v>
      </c>
      <c r="E58" s="125">
        <f>E32</f>
        <v>4890</v>
      </c>
      <c r="F58" s="125">
        <f t="shared" ref="F58:K58" si="14">F32</f>
        <v>649.01453314752143</v>
      </c>
      <c r="G58" s="125">
        <f t="shared" si="14"/>
        <v>5000</v>
      </c>
      <c r="H58" s="125">
        <f t="shared" si="14"/>
        <v>663.61404207313024</v>
      </c>
      <c r="I58" s="125">
        <f t="shared" si="14"/>
        <v>730</v>
      </c>
      <c r="J58" s="125">
        <f t="shared" si="14"/>
        <v>740</v>
      </c>
      <c r="K58" s="125">
        <f t="shared" si="14"/>
        <v>740</v>
      </c>
    </row>
    <row r="59" spans="1:11" x14ac:dyDescent="0.25">
      <c r="A59" s="66"/>
      <c r="B59" s="67"/>
      <c r="C59" s="68"/>
      <c r="D59" s="65"/>
      <c r="E59" s="10"/>
      <c r="F59" s="10"/>
      <c r="G59" s="10"/>
      <c r="H59" s="10"/>
      <c r="I59" s="10"/>
      <c r="J59" s="10"/>
      <c r="K59" s="10"/>
    </row>
    <row r="60" spans="1:11" ht="25.5" x14ac:dyDescent="0.25">
      <c r="A60" s="201" t="s">
        <v>33</v>
      </c>
      <c r="B60" s="202"/>
      <c r="C60" s="203"/>
      <c r="D60" s="24" t="s">
        <v>34</v>
      </c>
      <c r="E60" s="24" t="s">
        <v>153</v>
      </c>
      <c r="F60" s="24" t="s">
        <v>151</v>
      </c>
      <c r="G60" s="24" t="s">
        <v>155</v>
      </c>
      <c r="H60" s="24" t="s">
        <v>152</v>
      </c>
      <c r="I60" s="24" t="s">
        <v>119</v>
      </c>
      <c r="J60" s="24" t="s">
        <v>120</v>
      </c>
      <c r="K60" s="24" t="s">
        <v>51</v>
      </c>
    </row>
    <row r="61" spans="1:11" ht="15" customHeight="1" x14ac:dyDescent="0.25">
      <c r="A61" s="210" t="s">
        <v>121</v>
      </c>
      <c r="B61" s="211"/>
      <c r="C61" s="212"/>
      <c r="D61" s="115" t="s">
        <v>40</v>
      </c>
      <c r="E61" s="10"/>
      <c r="F61" s="10"/>
      <c r="G61" s="10"/>
      <c r="H61" s="10"/>
      <c r="I61" s="10"/>
      <c r="J61" s="10"/>
      <c r="K61" s="10"/>
    </row>
    <row r="62" spans="1:11" ht="25.5" customHeight="1" x14ac:dyDescent="0.25">
      <c r="A62" s="210" t="s">
        <v>160</v>
      </c>
      <c r="B62" s="211"/>
      <c r="C62" s="212"/>
      <c r="D62" s="115" t="s">
        <v>167</v>
      </c>
      <c r="E62" s="10"/>
      <c r="F62" s="10"/>
      <c r="G62" s="10"/>
      <c r="H62" s="10"/>
      <c r="I62" s="10"/>
      <c r="J62" s="10"/>
      <c r="K62" s="10"/>
    </row>
    <row r="63" spans="1:11" ht="15" customHeight="1" x14ac:dyDescent="0.25">
      <c r="A63" s="204">
        <v>43</v>
      </c>
      <c r="B63" s="205"/>
      <c r="C63" s="206"/>
      <c r="D63" s="116" t="s">
        <v>54</v>
      </c>
      <c r="E63" s="10"/>
      <c r="F63" s="10"/>
      <c r="G63" s="10"/>
      <c r="H63" s="10"/>
      <c r="I63" s="10"/>
      <c r="J63" s="10"/>
      <c r="K63" s="10"/>
    </row>
    <row r="64" spans="1:11" ht="15" customHeight="1" x14ac:dyDescent="0.25">
      <c r="A64" s="207">
        <v>3</v>
      </c>
      <c r="B64" s="208"/>
      <c r="C64" s="209"/>
      <c r="D64" s="69" t="s">
        <v>23</v>
      </c>
      <c r="E64" s="121">
        <f t="shared" ref="E64:K64" si="15">SUM(E65+E75+E109+E113)</f>
        <v>95906</v>
      </c>
      <c r="F64" s="121">
        <f t="shared" si="15"/>
        <v>12728.913663813126</v>
      </c>
      <c r="G64" s="121">
        <f t="shared" si="15"/>
        <v>142000</v>
      </c>
      <c r="H64" s="121">
        <f t="shared" si="15"/>
        <v>18846.638794876897</v>
      </c>
      <c r="I64" s="121">
        <f t="shared" si="15"/>
        <v>20330</v>
      </c>
      <c r="J64" s="121">
        <f t="shared" si="15"/>
        <v>20400</v>
      </c>
      <c r="K64" s="121">
        <f t="shared" si="15"/>
        <v>20400</v>
      </c>
    </row>
    <row r="65" spans="1:11" x14ac:dyDescent="0.25">
      <c r="A65" s="213">
        <v>31</v>
      </c>
      <c r="B65" s="214"/>
      <c r="C65" s="215"/>
      <c r="D65" s="57" t="s">
        <v>24</v>
      </c>
      <c r="E65" s="122">
        <f t="shared" ref="E65:K65" si="16">SUM(E66+E70+E72)</f>
        <v>150</v>
      </c>
      <c r="F65" s="122">
        <f t="shared" si="16"/>
        <v>19.908421262193905</v>
      </c>
      <c r="G65" s="122">
        <f t="shared" si="16"/>
        <v>0</v>
      </c>
      <c r="H65" s="122">
        <f t="shared" si="16"/>
        <v>0</v>
      </c>
      <c r="I65" s="122">
        <f t="shared" si="16"/>
        <v>0</v>
      </c>
      <c r="J65" s="122">
        <f t="shared" si="16"/>
        <v>0</v>
      </c>
      <c r="K65" s="122">
        <f t="shared" si="16"/>
        <v>0</v>
      </c>
    </row>
    <row r="66" spans="1:11" ht="15" customHeight="1" x14ac:dyDescent="0.25">
      <c r="A66" s="52">
        <v>311</v>
      </c>
      <c r="B66" s="53"/>
      <c r="C66" s="54"/>
      <c r="D66" s="55" t="s">
        <v>60</v>
      </c>
      <c r="E66" s="123">
        <f t="shared" ref="E66:K66" si="17">SUM(E67:E69)</f>
        <v>150</v>
      </c>
      <c r="F66" s="123">
        <f t="shared" si="17"/>
        <v>19.908421262193905</v>
      </c>
      <c r="G66" s="123">
        <f t="shared" si="17"/>
        <v>0</v>
      </c>
      <c r="H66" s="123">
        <f t="shared" si="17"/>
        <v>0</v>
      </c>
      <c r="I66" s="123">
        <f t="shared" si="17"/>
        <v>0</v>
      </c>
      <c r="J66" s="123">
        <f t="shared" si="17"/>
        <v>0</v>
      </c>
      <c r="K66" s="123">
        <f t="shared" si="17"/>
        <v>0</v>
      </c>
    </row>
    <row r="67" spans="1:11" x14ac:dyDescent="0.25">
      <c r="A67" s="66">
        <v>3111</v>
      </c>
      <c r="B67" s="67"/>
      <c r="C67" s="68"/>
      <c r="D67" s="65" t="s">
        <v>72</v>
      </c>
      <c r="E67" s="124">
        <v>129</v>
      </c>
      <c r="F67" s="124">
        <f>E67/7.5345</f>
        <v>17.121242285486758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</row>
    <row r="68" spans="1:11" x14ac:dyDescent="0.25">
      <c r="A68" s="66">
        <v>3113</v>
      </c>
      <c r="B68" s="67"/>
      <c r="C68" s="68"/>
      <c r="D68" s="65" t="s">
        <v>73</v>
      </c>
      <c r="E68" s="124"/>
      <c r="F68" s="124"/>
      <c r="G68" s="124"/>
      <c r="H68" s="124"/>
      <c r="I68" s="124"/>
      <c r="J68" s="124"/>
      <c r="K68" s="124"/>
    </row>
    <row r="69" spans="1:11" x14ac:dyDescent="0.25">
      <c r="A69" s="66">
        <v>3114</v>
      </c>
      <c r="B69" s="67"/>
      <c r="C69" s="68"/>
      <c r="D69" s="65" t="s">
        <v>74</v>
      </c>
      <c r="E69" s="124">
        <v>21</v>
      </c>
      <c r="F69" s="124">
        <f>E69/7.5345</f>
        <v>2.7871789767071471</v>
      </c>
      <c r="G69" s="124"/>
      <c r="H69" s="124"/>
      <c r="I69" s="124"/>
      <c r="J69" s="124"/>
      <c r="K69" s="124"/>
    </row>
    <row r="70" spans="1:11" x14ac:dyDescent="0.25">
      <c r="A70" s="52">
        <v>312</v>
      </c>
      <c r="B70" s="53"/>
      <c r="C70" s="54"/>
      <c r="D70" s="55" t="s">
        <v>75</v>
      </c>
      <c r="E70" s="123">
        <f t="shared" ref="E70:K70" si="18">SUM(E71)</f>
        <v>0</v>
      </c>
      <c r="F70" s="123">
        <f t="shared" si="18"/>
        <v>0</v>
      </c>
      <c r="G70" s="123">
        <f t="shared" si="18"/>
        <v>0</v>
      </c>
      <c r="H70" s="123">
        <f t="shared" si="18"/>
        <v>0</v>
      </c>
      <c r="I70" s="123">
        <f t="shared" si="18"/>
        <v>0</v>
      </c>
      <c r="J70" s="123">
        <f t="shared" si="18"/>
        <v>0</v>
      </c>
      <c r="K70" s="123">
        <f t="shared" si="18"/>
        <v>0</v>
      </c>
    </row>
    <row r="71" spans="1:11" x14ac:dyDescent="0.25">
      <c r="A71" s="66">
        <v>3121</v>
      </c>
      <c r="B71" s="67"/>
      <c r="C71" s="68"/>
      <c r="D71" s="65" t="s">
        <v>76</v>
      </c>
      <c r="E71" s="124"/>
      <c r="F71" s="124"/>
      <c r="G71" s="124"/>
      <c r="H71" s="124"/>
      <c r="I71" s="124"/>
      <c r="J71" s="124"/>
      <c r="K71" s="124"/>
    </row>
    <row r="72" spans="1:11" x14ac:dyDescent="0.25">
      <c r="A72" s="52">
        <v>313</v>
      </c>
      <c r="B72" s="53"/>
      <c r="C72" s="54"/>
      <c r="D72" s="55" t="s">
        <v>61</v>
      </c>
      <c r="E72" s="123">
        <f>SUM(E73:E74)</f>
        <v>0</v>
      </c>
      <c r="F72" s="123">
        <f>SUM(F73:F74)</f>
        <v>0</v>
      </c>
      <c r="G72" s="123">
        <f t="shared" ref="G72:K72" si="19">SUM(G73:G74)</f>
        <v>0</v>
      </c>
      <c r="H72" s="123">
        <f t="shared" si="19"/>
        <v>0</v>
      </c>
      <c r="I72" s="123">
        <f t="shared" si="19"/>
        <v>0</v>
      </c>
      <c r="J72" s="123">
        <f t="shared" si="19"/>
        <v>0</v>
      </c>
      <c r="K72" s="123">
        <f t="shared" si="19"/>
        <v>0</v>
      </c>
    </row>
    <row r="73" spans="1:11" x14ac:dyDescent="0.25">
      <c r="A73" s="66">
        <v>3131</v>
      </c>
      <c r="B73" s="67"/>
      <c r="C73" s="68"/>
      <c r="D73" s="65" t="s">
        <v>77</v>
      </c>
      <c r="E73" s="124"/>
      <c r="F73" s="124"/>
      <c r="G73" s="124"/>
      <c r="H73" s="124"/>
      <c r="I73" s="124"/>
      <c r="J73" s="124"/>
      <c r="K73" s="124"/>
    </row>
    <row r="74" spans="1:11" ht="25.5" x14ac:dyDescent="0.25">
      <c r="A74" s="66">
        <v>3132</v>
      </c>
      <c r="B74" s="67"/>
      <c r="C74" s="68"/>
      <c r="D74" s="65" t="s">
        <v>78</v>
      </c>
      <c r="E74" s="124"/>
      <c r="F74" s="124"/>
      <c r="G74" s="124"/>
      <c r="H74" s="124"/>
      <c r="I74" s="124"/>
      <c r="J74" s="124"/>
      <c r="K74" s="124"/>
    </row>
    <row r="75" spans="1:11" x14ac:dyDescent="0.25">
      <c r="A75" s="213">
        <v>32</v>
      </c>
      <c r="B75" s="214"/>
      <c r="C75" s="215"/>
      <c r="D75" s="57" t="s">
        <v>35</v>
      </c>
      <c r="E75" s="122">
        <f t="shared" ref="E75:K75" si="20">SUM(E76+E81+E89+E99+E101)</f>
        <v>95756</v>
      </c>
      <c r="F75" s="122">
        <f t="shared" si="20"/>
        <v>12709.005242550931</v>
      </c>
      <c r="G75" s="122">
        <f t="shared" si="20"/>
        <v>142000</v>
      </c>
      <c r="H75" s="122">
        <f t="shared" si="20"/>
        <v>18846.638794876897</v>
      </c>
      <c r="I75" s="122">
        <f t="shared" si="20"/>
        <v>20330</v>
      </c>
      <c r="J75" s="122">
        <f t="shared" si="20"/>
        <v>20400</v>
      </c>
      <c r="K75" s="122">
        <f t="shared" si="20"/>
        <v>20400</v>
      </c>
    </row>
    <row r="76" spans="1:11" x14ac:dyDescent="0.25">
      <c r="A76" s="52">
        <v>321</v>
      </c>
      <c r="B76" s="53"/>
      <c r="C76" s="54"/>
      <c r="D76" s="55" t="s">
        <v>62</v>
      </c>
      <c r="E76" s="123">
        <f t="shared" ref="E76:K76" si="21">SUM(E77:E80)</f>
        <v>800</v>
      </c>
      <c r="F76" s="123">
        <f t="shared" si="21"/>
        <v>106.17824673170084</v>
      </c>
      <c r="G76" s="123">
        <f t="shared" si="21"/>
        <v>2000</v>
      </c>
      <c r="H76" s="123">
        <f t="shared" si="21"/>
        <v>265.44561682925212</v>
      </c>
      <c r="I76" s="123">
        <f t="shared" si="21"/>
        <v>530</v>
      </c>
      <c r="J76" s="123">
        <f t="shared" si="21"/>
        <v>530</v>
      </c>
      <c r="K76" s="123">
        <f t="shared" si="21"/>
        <v>530</v>
      </c>
    </row>
    <row r="77" spans="1:11" x14ac:dyDescent="0.25">
      <c r="A77" s="66">
        <v>3211</v>
      </c>
      <c r="B77" s="67"/>
      <c r="C77" s="68"/>
      <c r="D77" s="65" t="s">
        <v>79</v>
      </c>
      <c r="E77" s="124">
        <v>800</v>
      </c>
      <c r="F77" s="124">
        <f>E77/7.5345</f>
        <v>106.17824673170084</v>
      </c>
      <c r="G77" s="124">
        <v>2000</v>
      </c>
      <c r="H77" s="124">
        <f t="shared" ref="H77:H80" si="22">G77/7.5345</f>
        <v>265.44561682925212</v>
      </c>
      <c r="I77" s="124">
        <v>530</v>
      </c>
      <c r="J77" s="124">
        <v>530</v>
      </c>
      <c r="K77" s="124">
        <v>530</v>
      </c>
    </row>
    <row r="78" spans="1:11" ht="25.5" x14ac:dyDescent="0.25">
      <c r="A78" s="66">
        <v>3212</v>
      </c>
      <c r="B78" s="67"/>
      <c r="C78" s="68"/>
      <c r="D78" s="65" t="s">
        <v>80</v>
      </c>
      <c r="E78" s="124"/>
      <c r="F78" s="124"/>
      <c r="G78" s="124"/>
      <c r="H78" s="124">
        <f t="shared" si="22"/>
        <v>0</v>
      </c>
      <c r="I78" s="124"/>
      <c r="J78" s="124"/>
      <c r="K78" s="124"/>
    </row>
    <row r="79" spans="1:11" x14ac:dyDescent="0.25">
      <c r="A79" s="66">
        <v>3213</v>
      </c>
      <c r="B79" s="67"/>
      <c r="C79" s="68"/>
      <c r="D79" s="65" t="s">
        <v>81</v>
      </c>
      <c r="E79" s="124"/>
      <c r="F79" s="124"/>
      <c r="G79" s="124"/>
      <c r="H79" s="124">
        <f t="shared" si="22"/>
        <v>0</v>
      </c>
      <c r="I79" s="124"/>
      <c r="J79" s="124"/>
      <c r="K79" s="124"/>
    </row>
    <row r="80" spans="1:11" ht="25.5" x14ac:dyDescent="0.25">
      <c r="A80" s="66">
        <v>3214</v>
      </c>
      <c r="B80" s="67"/>
      <c r="C80" s="68"/>
      <c r="D80" s="65" t="s">
        <v>82</v>
      </c>
      <c r="E80" s="124"/>
      <c r="F80" s="124"/>
      <c r="G80" s="124"/>
      <c r="H80" s="124">
        <f t="shared" si="22"/>
        <v>0</v>
      </c>
      <c r="I80" s="124"/>
      <c r="J80" s="124"/>
      <c r="K80" s="124"/>
    </row>
    <row r="81" spans="1:11" x14ac:dyDescent="0.25">
      <c r="A81" s="52">
        <v>322</v>
      </c>
      <c r="B81" s="53"/>
      <c r="C81" s="54"/>
      <c r="D81" s="55" t="s">
        <v>63</v>
      </c>
      <c r="E81" s="123">
        <f t="shared" ref="E81:K81" si="23">SUM(E82:E88)</f>
        <v>72528</v>
      </c>
      <c r="F81" s="123">
        <f t="shared" si="23"/>
        <v>9626.1198486959984</v>
      </c>
      <c r="G81" s="123">
        <f t="shared" si="23"/>
        <v>106300</v>
      </c>
      <c r="H81" s="123">
        <f t="shared" si="23"/>
        <v>14108.434534474749</v>
      </c>
      <c r="I81" s="123">
        <f t="shared" si="23"/>
        <v>13700</v>
      </c>
      <c r="J81" s="123">
        <f t="shared" si="23"/>
        <v>13770</v>
      </c>
      <c r="K81" s="123">
        <f t="shared" si="23"/>
        <v>13770</v>
      </c>
    </row>
    <row r="82" spans="1:11" ht="25.5" x14ac:dyDescent="0.25">
      <c r="A82" s="66">
        <v>3221</v>
      </c>
      <c r="B82" s="67"/>
      <c r="C82" s="68"/>
      <c r="D82" s="65" t="s">
        <v>83</v>
      </c>
      <c r="E82" s="124"/>
      <c r="F82" s="124">
        <f t="shared" ref="F82:F88" si="24">E82/7.5345</f>
        <v>0</v>
      </c>
      <c r="G82" s="124"/>
      <c r="H82" s="124">
        <f t="shared" ref="H82:H88" si="25">G82/7.5345</f>
        <v>0</v>
      </c>
      <c r="I82" s="124"/>
      <c r="J82" s="124"/>
      <c r="K82" s="124"/>
    </row>
    <row r="83" spans="1:11" x14ac:dyDescent="0.25">
      <c r="A83" s="66">
        <v>3222</v>
      </c>
      <c r="B83" s="67"/>
      <c r="C83" s="68"/>
      <c r="D83" s="65" t="s">
        <v>84</v>
      </c>
      <c r="E83" s="124">
        <v>72528</v>
      </c>
      <c r="F83" s="124">
        <f t="shared" si="24"/>
        <v>9626.1198486959984</v>
      </c>
      <c r="G83" s="124">
        <v>99300</v>
      </c>
      <c r="H83" s="124">
        <f t="shared" si="25"/>
        <v>13179.374875572366</v>
      </c>
      <c r="I83" s="124">
        <v>13200</v>
      </c>
      <c r="J83" s="124">
        <v>13250</v>
      </c>
      <c r="K83" s="124">
        <v>13250</v>
      </c>
    </row>
    <row r="84" spans="1:11" x14ac:dyDescent="0.25">
      <c r="A84" s="66">
        <v>3223</v>
      </c>
      <c r="B84" s="67"/>
      <c r="C84" s="68"/>
      <c r="D84" s="65" t="s">
        <v>85</v>
      </c>
      <c r="E84" s="124"/>
      <c r="F84" s="124">
        <f t="shared" si="24"/>
        <v>0</v>
      </c>
      <c r="G84" s="124"/>
      <c r="H84" s="124">
        <f t="shared" si="25"/>
        <v>0</v>
      </c>
      <c r="I84" s="124"/>
      <c r="J84" s="124"/>
      <c r="K84" s="124"/>
    </row>
    <row r="85" spans="1:11" ht="25.5" x14ac:dyDescent="0.25">
      <c r="A85" s="66">
        <v>3224</v>
      </c>
      <c r="B85" s="67"/>
      <c r="C85" s="68"/>
      <c r="D85" s="65" t="s">
        <v>86</v>
      </c>
      <c r="E85" s="124"/>
      <c r="F85" s="124">
        <f t="shared" si="24"/>
        <v>0</v>
      </c>
      <c r="G85" s="124"/>
      <c r="H85" s="124">
        <f t="shared" si="25"/>
        <v>0</v>
      </c>
      <c r="I85" s="124"/>
      <c r="J85" s="124"/>
      <c r="K85" s="124"/>
    </row>
    <row r="86" spans="1:11" x14ac:dyDescent="0.25">
      <c r="A86" s="66">
        <v>3225</v>
      </c>
      <c r="B86" s="67"/>
      <c r="C86" s="68"/>
      <c r="D86" s="65" t="s">
        <v>87</v>
      </c>
      <c r="E86" s="124"/>
      <c r="F86" s="124">
        <f t="shared" si="24"/>
        <v>0</v>
      </c>
      <c r="G86" s="124">
        <v>7000</v>
      </c>
      <c r="H86" s="124">
        <f t="shared" si="25"/>
        <v>929.05965890238235</v>
      </c>
      <c r="I86" s="124">
        <v>500</v>
      </c>
      <c r="J86" s="124">
        <v>520</v>
      </c>
      <c r="K86" s="124">
        <v>520</v>
      </c>
    </row>
    <row r="87" spans="1:11" ht="25.5" x14ac:dyDescent="0.25">
      <c r="A87" s="66">
        <v>3226</v>
      </c>
      <c r="B87" s="67"/>
      <c r="C87" s="68"/>
      <c r="D87" s="65" t="s">
        <v>88</v>
      </c>
      <c r="E87" s="124"/>
      <c r="F87" s="124">
        <f t="shared" si="24"/>
        <v>0</v>
      </c>
      <c r="G87" s="124"/>
      <c r="H87" s="124">
        <f t="shared" si="25"/>
        <v>0</v>
      </c>
      <c r="I87" s="124"/>
      <c r="J87" s="124"/>
      <c r="K87" s="124"/>
    </row>
    <row r="88" spans="1:11" ht="25.5" x14ac:dyDescent="0.25">
      <c r="A88" s="66">
        <v>3227</v>
      </c>
      <c r="B88" s="67"/>
      <c r="C88" s="68"/>
      <c r="D88" s="65" t="s">
        <v>89</v>
      </c>
      <c r="E88" s="124"/>
      <c r="F88" s="124">
        <f t="shared" si="24"/>
        <v>0</v>
      </c>
      <c r="G88" s="124"/>
      <c r="H88" s="124">
        <f t="shared" si="25"/>
        <v>0</v>
      </c>
      <c r="I88" s="124"/>
      <c r="J88" s="124"/>
      <c r="K88" s="124"/>
    </row>
    <row r="89" spans="1:11" x14ac:dyDescent="0.25">
      <c r="A89" s="52">
        <v>323</v>
      </c>
      <c r="B89" s="53"/>
      <c r="C89" s="54"/>
      <c r="D89" s="55" t="s">
        <v>64</v>
      </c>
      <c r="E89" s="123">
        <f t="shared" ref="E89:K89" si="26">SUM(E90:E98)</f>
        <v>6300</v>
      </c>
      <c r="F89" s="123">
        <f t="shared" si="26"/>
        <v>836.15369301214412</v>
      </c>
      <c r="G89" s="123">
        <f t="shared" si="26"/>
        <v>2700</v>
      </c>
      <c r="H89" s="123">
        <f t="shared" si="26"/>
        <v>358.35158271949035</v>
      </c>
      <c r="I89" s="123">
        <f t="shared" si="26"/>
        <v>1100</v>
      </c>
      <c r="J89" s="123">
        <f t="shared" si="26"/>
        <v>1100</v>
      </c>
      <c r="K89" s="123">
        <f t="shared" si="26"/>
        <v>1100</v>
      </c>
    </row>
    <row r="90" spans="1:11" x14ac:dyDescent="0.25">
      <c r="A90" s="66">
        <v>3231</v>
      </c>
      <c r="B90" s="67"/>
      <c r="C90" s="68"/>
      <c r="D90" s="65" t="s">
        <v>90</v>
      </c>
      <c r="E90" s="124"/>
      <c r="F90" s="124"/>
      <c r="G90" s="124"/>
      <c r="H90" s="124"/>
      <c r="I90" s="124">
        <v>1000</v>
      </c>
      <c r="J90" s="124">
        <v>1000</v>
      </c>
      <c r="K90" s="124">
        <v>1000</v>
      </c>
    </row>
    <row r="91" spans="1:11" ht="25.5" x14ac:dyDescent="0.25">
      <c r="A91" s="66">
        <v>3232</v>
      </c>
      <c r="B91" s="67"/>
      <c r="C91" s="68"/>
      <c r="D91" s="65" t="s">
        <v>91</v>
      </c>
      <c r="E91" s="124"/>
      <c r="F91" s="124"/>
      <c r="G91" s="124"/>
      <c r="H91" s="124"/>
      <c r="I91" s="124"/>
      <c r="J91" s="124"/>
      <c r="K91" s="124"/>
    </row>
    <row r="92" spans="1:11" x14ac:dyDescent="0.25">
      <c r="A92" s="66">
        <v>3233</v>
      </c>
      <c r="B92" s="67"/>
      <c r="C92" s="68"/>
      <c r="D92" s="65" t="s">
        <v>92</v>
      </c>
      <c r="E92" s="124"/>
      <c r="F92" s="124"/>
      <c r="G92" s="124"/>
      <c r="H92" s="124"/>
      <c r="I92" s="124"/>
      <c r="J92" s="124"/>
      <c r="K92" s="124"/>
    </row>
    <row r="93" spans="1:11" x14ac:dyDescent="0.25">
      <c r="A93" s="66">
        <v>3234</v>
      </c>
      <c r="B93" s="67"/>
      <c r="C93" s="68"/>
      <c r="D93" s="65" t="s">
        <v>93</v>
      </c>
      <c r="E93" s="124"/>
      <c r="F93" s="124"/>
      <c r="G93" s="124"/>
      <c r="H93" s="124"/>
      <c r="I93" s="124"/>
      <c r="J93" s="124"/>
      <c r="K93" s="124"/>
    </row>
    <row r="94" spans="1:11" x14ac:dyDescent="0.25">
      <c r="A94" s="66">
        <v>3235</v>
      </c>
      <c r="B94" s="67"/>
      <c r="C94" s="68"/>
      <c r="D94" s="65" t="s">
        <v>94</v>
      </c>
      <c r="E94" s="124"/>
      <c r="F94" s="124"/>
      <c r="G94" s="124"/>
      <c r="H94" s="124"/>
      <c r="I94" s="124"/>
      <c r="J94" s="124"/>
      <c r="K94" s="124"/>
    </row>
    <row r="95" spans="1:11" x14ac:dyDescent="0.25">
      <c r="A95" s="66">
        <v>3236</v>
      </c>
      <c r="B95" s="67"/>
      <c r="C95" s="68"/>
      <c r="D95" s="65" t="s">
        <v>95</v>
      </c>
      <c r="E95" s="124"/>
      <c r="F95" s="124"/>
      <c r="G95" s="124"/>
      <c r="H95" s="124"/>
      <c r="I95" s="124"/>
      <c r="J95" s="124"/>
      <c r="K95" s="124"/>
    </row>
    <row r="96" spans="1:11" x14ac:dyDescent="0.25">
      <c r="A96" s="66">
        <v>3237</v>
      </c>
      <c r="B96" s="67"/>
      <c r="C96" s="68"/>
      <c r="D96" s="65" t="s">
        <v>96</v>
      </c>
      <c r="E96" s="124"/>
      <c r="F96" s="124"/>
      <c r="G96" s="124"/>
      <c r="H96" s="124"/>
      <c r="I96" s="124"/>
      <c r="J96" s="124"/>
      <c r="K96" s="124"/>
    </row>
    <row r="97" spans="1:11" x14ac:dyDescent="0.25">
      <c r="A97" s="66">
        <v>3238</v>
      </c>
      <c r="B97" s="67"/>
      <c r="C97" s="68"/>
      <c r="D97" s="65" t="s">
        <v>97</v>
      </c>
      <c r="E97" s="124"/>
      <c r="F97" s="124"/>
      <c r="G97" s="124"/>
      <c r="H97" s="124"/>
      <c r="I97" s="124"/>
      <c r="J97" s="124"/>
      <c r="K97" s="124"/>
    </row>
    <row r="98" spans="1:11" x14ac:dyDescent="0.25">
      <c r="A98" s="66">
        <v>3239</v>
      </c>
      <c r="B98" s="67"/>
      <c r="C98" s="68"/>
      <c r="D98" s="65" t="s">
        <v>98</v>
      </c>
      <c r="E98" s="124">
        <v>6300</v>
      </c>
      <c r="F98" s="124">
        <f>E98/7.5345</f>
        <v>836.15369301214412</v>
      </c>
      <c r="G98" s="124">
        <v>2700</v>
      </c>
      <c r="H98" s="124">
        <f>G98/7.5345</f>
        <v>358.35158271949035</v>
      </c>
      <c r="I98" s="124">
        <v>100</v>
      </c>
      <c r="J98" s="124">
        <v>100</v>
      </c>
      <c r="K98" s="124">
        <v>100</v>
      </c>
    </row>
    <row r="99" spans="1:11" ht="25.5" x14ac:dyDescent="0.25">
      <c r="A99" s="52">
        <v>324</v>
      </c>
      <c r="B99" s="53"/>
      <c r="C99" s="54"/>
      <c r="D99" s="55" t="s">
        <v>99</v>
      </c>
      <c r="E99" s="123"/>
      <c r="F99" s="123"/>
      <c r="G99" s="123"/>
      <c r="H99" s="123"/>
      <c r="I99" s="123"/>
      <c r="J99" s="123"/>
      <c r="K99" s="123"/>
    </row>
    <row r="100" spans="1:11" ht="19.5" customHeight="1" x14ac:dyDescent="0.25">
      <c r="A100" s="80">
        <v>3241</v>
      </c>
      <c r="B100" s="81"/>
      <c r="C100" s="82"/>
      <c r="D100" s="79" t="s">
        <v>127</v>
      </c>
      <c r="E100" s="124"/>
      <c r="F100" s="124"/>
      <c r="G100" s="124"/>
      <c r="H100" s="124"/>
      <c r="I100" s="124"/>
      <c r="J100" s="124"/>
      <c r="K100" s="124"/>
    </row>
    <row r="101" spans="1:11" ht="25.5" x14ac:dyDescent="0.25">
      <c r="A101" s="52">
        <v>329</v>
      </c>
      <c r="B101" s="53"/>
      <c r="C101" s="54"/>
      <c r="D101" s="55" t="s">
        <v>100</v>
      </c>
      <c r="E101" s="123">
        <f t="shared" ref="E101:K101" si="27">SUM(E102:E108)</f>
        <v>16128</v>
      </c>
      <c r="F101" s="123">
        <f t="shared" si="27"/>
        <v>2140.5534541110887</v>
      </c>
      <c r="G101" s="123">
        <f t="shared" si="27"/>
        <v>31000</v>
      </c>
      <c r="H101" s="123">
        <f t="shared" si="27"/>
        <v>4114.4070608534075</v>
      </c>
      <c r="I101" s="123">
        <f t="shared" si="27"/>
        <v>5000</v>
      </c>
      <c r="J101" s="123">
        <f t="shared" si="27"/>
        <v>5000</v>
      </c>
      <c r="K101" s="123">
        <f t="shared" si="27"/>
        <v>5000</v>
      </c>
    </row>
    <row r="102" spans="1:11" ht="38.25" x14ac:dyDescent="0.25">
      <c r="A102" s="66">
        <v>3291</v>
      </c>
      <c r="B102" s="67"/>
      <c r="C102" s="68"/>
      <c r="D102" s="65" t="s">
        <v>101</v>
      </c>
      <c r="E102" s="124"/>
      <c r="F102" s="124"/>
      <c r="G102" s="124"/>
      <c r="H102" s="124"/>
      <c r="I102" s="124"/>
      <c r="J102" s="124"/>
      <c r="K102" s="124"/>
    </row>
    <row r="103" spans="1:11" x14ac:dyDescent="0.25">
      <c r="A103" s="66">
        <v>3292</v>
      </c>
      <c r="B103" s="67"/>
      <c r="C103" s="68"/>
      <c r="D103" s="65" t="s">
        <v>102</v>
      </c>
      <c r="E103" s="124"/>
      <c r="F103" s="124"/>
      <c r="G103" s="124"/>
      <c r="H103" s="124"/>
      <c r="I103" s="124"/>
      <c r="J103" s="124"/>
      <c r="K103" s="124"/>
    </row>
    <row r="104" spans="1:11" x14ac:dyDescent="0.25">
      <c r="A104" s="66">
        <v>3293</v>
      </c>
      <c r="B104" s="67"/>
      <c r="C104" s="68"/>
      <c r="D104" s="65" t="s">
        <v>103</v>
      </c>
      <c r="E104" s="124"/>
      <c r="F104" s="124"/>
      <c r="G104" s="124"/>
      <c r="H104" s="124"/>
      <c r="I104" s="124"/>
      <c r="J104" s="124"/>
      <c r="K104" s="124"/>
    </row>
    <row r="105" spans="1:11" x14ac:dyDescent="0.25">
      <c r="A105" s="66">
        <v>3294</v>
      </c>
      <c r="B105" s="67"/>
      <c r="C105" s="68"/>
      <c r="D105" s="65" t="s">
        <v>104</v>
      </c>
      <c r="E105" s="124"/>
      <c r="F105" s="124"/>
      <c r="G105" s="124"/>
      <c r="H105" s="124"/>
      <c r="I105" s="124"/>
      <c r="J105" s="124"/>
      <c r="K105" s="124"/>
    </row>
    <row r="106" spans="1:11" x14ac:dyDescent="0.25">
      <c r="A106" s="66">
        <v>3295</v>
      </c>
      <c r="B106" s="67"/>
      <c r="C106" s="68"/>
      <c r="D106" s="65" t="s">
        <v>105</v>
      </c>
      <c r="E106" s="124"/>
      <c r="F106" s="124"/>
      <c r="G106" s="124"/>
      <c r="H106" s="124"/>
      <c r="I106" s="124"/>
      <c r="J106" s="124"/>
      <c r="K106" s="124"/>
    </row>
    <row r="107" spans="1:11" x14ac:dyDescent="0.25">
      <c r="A107" s="66">
        <v>3296</v>
      </c>
      <c r="B107" s="67"/>
      <c r="C107" s="68"/>
      <c r="D107" s="65" t="s">
        <v>106</v>
      </c>
      <c r="E107" s="124"/>
      <c r="F107" s="124"/>
      <c r="G107" s="124"/>
      <c r="H107" s="124"/>
      <c r="I107" s="124"/>
      <c r="J107" s="124"/>
      <c r="K107" s="124"/>
    </row>
    <row r="108" spans="1:11" ht="25.5" x14ac:dyDescent="0.25">
      <c r="A108" s="66">
        <v>3299</v>
      </c>
      <c r="B108" s="67"/>
      <c r="C108" s="68"/>
      <c r="D108" s="65" t="s">
        <v>65</v>
      </c>
      <c r="E108" s="124">
        <v>16128</v>
      </c>
      <c r="F108" s="124">
        <f>E108/7.5345</f>
        <v>2140.5534541110887</v>
      </c>
      <c r="G108" s="124">
        <v>31000</v>
      </c>
      <c r="H108" s="124">
        <f>G108/7.5345</f>
        <v>4114.4070608534075</v>
      </c>
      <c r="I108" s="124">
        <v>5000</v>
      </c>
      <c r="J108" s="124">
        <v>5000</v>
      </c>
      <c r="K108" s="124">
        <v>5000</v>
      </c>
    </row>
    <row r="109" spans="1:11" x14ac:dyDescent="0.25">
      <c r="A109" s="70">
        <v>34</v>
      </c>
      <c r="B109" s="71"/>
      <c r="C109" s="72"/>
      <c r="D109" s="57" t="s">
        <v>66</v>
      </c>
      <c r="E109" s="122">
        <f t="shared" ref="E109:K109" si="28">SUM(E110)</f>
        <v>0</v>
      </c>
      <c r="F109" s="122">
        <f t="shared" si="28"/>
        <v>0</v>
      </c>
      <c r="G109" s="122">
        <f t="shared" si="28"/>
        <v>0</v>
      </c>
      <c r="H109" s="122">
        <f t="shared" si="28"/>
        <v>0</v>
      </c>
      <c r="I109" s="122">
        <f t="shared" si="28"/>
        <v>0</v>
      </c>
      <c r="J109" s="122">
        <f t="shared" si="28"/>
        <v>0</v>
      </c>
      <c r="K109" s="122">
        <f t="shared" si="28"/>
        <v>0</v>
      </c>
    </row>
    <row r="110" spans="1:11" x14ac:dyDescent="0.25">
      <c r="A110" s="52">
        <v>343</v>
      </c>
      <c r="B110" s="53"/>
      <c r="C110" s="54"/>
      <c r="D110" s="55" t="s">
        <v>67</v>
      </c>
      <c r="E110" s="123">
        <f t="shared" ref="E110:K110" si="29">SUM(E111:E112)</f>
        <v>0</v>
      </c>
      <c r="F110" s="123">
        <f t="shared" si="29"/>
        <v>0</v>
      </c>
      <c r="G110" s="123">
        <f t="shared" si="29"/>
        <v>0</v>
      </c>
      <c r="H110" s="123">
        <f t="shared" si="29"/>
        <v>0</v>
      </c>
      <c r="I110" s="123">
        <f t="shared" si="29"/>
        <v>0</v>
      </c>
      <c r="J110" s="123">
        <f t="shared" si="29"/>
        <v>0</v>
      </c>
      <c r="K110" s="123">
        <f t="shared" si="29"/>
        <v>0</v>
      </c>
    </row>
    <row r="111" spans="1:11" ht="25.5" x14ac:dyDescent="0.25">
      <c r="A111" s="66">
        <v>3431</v>
      </c>
      <c r="B111" s="67"/>
      <c r="C111" s="68"/>
      <c r="D111" s="65" t="s">
        <v>107</v>
      </c>
      <c r="E111" s="124"/>
      <c r="F111" s="124"/>
      <c r="G111" s="124"/>
      <c r="H111" s="124"/>
      <c r="I111" s="124"/>
      <c r="J111" s="124"/>
      <c r="K111" s="124"/>
    </row>
    <row r="112" spans="1:11" x14ac:dyDescent="0.25">
      <c r="A112" s="66">
        <v>3433</v>
      </c>
      <c r="B112" s="67"/>
      <c r="C112" s="68"/>
      <c r="D112" s="65" t="s">
        <v>108</v>
      </c>
      <c r="E112" s="124"/>
      <c r="F112" s="124"/>
      <c r="G112" s="124"/>
      <c r="H112" s="124"/>
      <c r="I112" s="124"/>
      <c r="J112" s="124"/>
      <c r="K112" s="124"/>
    </row>
    <row r="113" spans="1:11" ht="38.25" x14ac:dyDescent="0.25">
      <c r="A113" s="70">
        <v>37</v>
      </c>
      <c r="B113" s="71"/>
      <c r="C113" s="72"/>
      <c r="D113" s="57" t="s">
        <v>68</v>
      </c>
      <c r="E113" s="122">
        <f t="shared" ref="E113:K113" si="30">SUM(E114)</f>
        <v>0</v>
      </c>
      <c r="F113" s="122">
        <f t="shared" si="30"/>
        <v>0</v>
      </c>
      <c r="G113" s="122">
        <f t="shared" si="30"/>
        <v>0</v>
      </c>
      <c r="H113" s="122">
        <f t="shared" si="30"/>
        <v>0</v>
      </c>
      <c r="I113" s="122">
        <f t="shared" si="30"/>
        <v>0</v>
      </c>
      <c r="J113" s="122">
        <f t="shared" si="30"/>
        <v>0</v>
      </c>
      <c r="K113" s="122">
        <f t="shared" si="30"/>
        <v>0</v>
      </c>
    </row>
    <row r="114" spans="1:11" ht="25.5" x14ac:dyDescent="0.25">
      <c r="A114" s="52">
        <v>372</v>
      </c>
      <c r="B114" s="53"/>
      <c r="C114" s="54"/>
      <c r="D114" s="55" t="s">
        <v>69</v>
      </c>
      <c r="E114" s="123"/>
      <c r="F114" s="123"/>
      <c r="G114" s="123"/>
      <c r="H114" s="123"/>
      <c r="I114" s="123"/>
      <c r="J114" s="123"/>
      <c r="K114" s="123"/>
    </row>
    <row r="115" spans="1:11" ht="25.5" x14ac:dyDescent="0.25">
      <c r="A115" s="66">
        <v>3721</v>
      </c>
      <c r="B115" s="67"/>
      <c r="C115" s="68"/>
      <c r="D115" s="65" t="s">
        <v>109</v>
      </c>
      <c r="E115" s="124"/>
      <c r="F115" s="124"/>
      <c r="G115" s="124"/>
      <c r="H115" s="124"/>
      <c r="I115" s="124"/>
      <c r="J115" s="124"/>
      <c r="K115" s="124"/>
    </row>
    <row r="116" spans="1:11" ht="25.5" x14ac:dyDescent="0.25">
      <c r="A116" s="66">
        <v>3722</v>
      </c>
      <c r="B116" s="67"/>
      <c r="C116" s="68"/>
      <c r="D116" s="65" t="s">
        <v>110</v>
      </c>
      <c r="E116" s="124"/>
      <c r="F116" s="124"/>
      <c r="G116" s="124"/>
      <c r="H116" s="124"/>
      <c r="I116" s="124"/>
      <c r="J116" s="124"/>
      <c r="K116" s="124"/>
    </row>
    <row r="117" spans="1:11" ht="38.25" x14ac:dyDescent="0.25">
      <c r="A117" s="59">
        <v>4</v>
      </c>
      <c r="B117" s="60"/>
      <c r="C117" s="61"/>
      <c r="D117" s="69" t="s">
        <v>56</v>
      </c>
      <c r="E117" s="121">
        <f t="shared" ref="E117:K117" si="31">SUM(E118)</f>
        <v>7043</v>
      </c>
      <c r="F117" s="121">
        <f t="shared" si="31"/>
        <v>934.76673966421129</v>
      </c>
      <c r="G117" s="121">
        <f t="shared" si="31"/>
        <v>12600</v>
      </c>
      <c r="H117" s="121">
        <f t="shared" si="31"/>
        <v>1672.307386024288</v>
      </c>
      <c r="I117" s="121">
        <f t="shared" si="31"/>
        <v>530</v>
      </c>
      <c r="J117" s="121">
        <f t="shared" si="31"/>
        <v>535</v>
      </c>
      <c r="K117" s="121">
        <f t="shared" si="31"/>
        <v>535</v>
      </c>
    </row>
    <row r="118" spans="1:11" ht="38.25" x14ac:dyDescent="0.25">
      <c r="A118" s="70">
        <v>42</v>
      </c>
      <c r="B118" s="71"/>
      <c r="C118" s="72"/>
      <c r="D118" s="57" t="s">
        <v>56</v>
      </c>
      <c r="E118" s="122">
        <f>SUM(E119+E126)</f>
        <v>7043</v>
      </c>
      <c r="F118" s="122">
        <f t="shared" ref="F118:K118" si="32">SUM(F119+F126)</f>
        <v>934.76673966421129</v>
      </c>
      <c r="G118" s="122">
        <f t="shared" si="32"/>
        <v>12600</v>
      </c>
      <c r="H118" s="122">
        <f t="shared" si="32"/>
        <v>1672.307386024288</v>
      </c>
      <c r="I118" s="122">
        <f t="shared" si="32"/>
        <v>530</v>
      </c>
      <c r="J118" s="122">
        <f t="shared" si="32"/>
        <v>535</v>
      </c>
      <c r="K118" s="122">
        <f t="shared" si="32"/>
        <v>535</v>
      </c>
    </row>
    <row r="119" spans="1:11" x14ac:dyDescent="0.25">
      <c r="A119" s="52">
        <v>422</v>
      </c>
      <c r="B119" s="53"/>
      <c r="C119" s="54"/>
      <c r="D119" s="55" t="s">
        <v>70</v>
      </c>
      <c r="E119" s="123">
        <f>SUM(E120:E125)</f>
        <v>0</v>
      </c>
      <c r="F119" s="123">
        <f t="shared" ref="F119:K119" si="33">SUM(F120:F125)</f>
        <v>0</v>
      </c>
      <c r="G119" s="123">
        <f t="shared" si="33"/>
        <v>6000</v>
      </c>
      <c r="H119" s="123">
        <f t="shared" si="33"/>
        <v>796.33685048775624</v>
      </c>
      <c r="I119" s="123">
        <f t="shared" si="33"/>
        <v>0</v>
      </c>
      <c r="J119" s="123">
        <f t="shared" si="33"/>
        <v>0</v>
      </c>
      <c r="K119" s="123">
        <f t="shared" si="33"/>
        <v>0</v>
      </c>
    </row>
    <row r="120" spans="1:11" x14ac:dyDescent="0.25">
      <c r="A120" s="66">
        <v>4221</v>
      </c>
      <c r="B120" s="67"/>
      <c r="C120" s="68"/>
      <c r="D120" s="65" t="s">
        <v>111</v>
      </c>
      <c r="E120" s="124"/>
      <c r="F120" s="124"/>
      <c r="G120" s="124"/>
      <c r="H120" s="124"/>
      <c r="I120" s="124"/>
      <c r="J120" s="124"/>
      <c r="K120" s="124"/>
    </row>
    <row r="121" spans="1:11" x14ac:dyDescent="0.25">
      <c r="A121" s="66">
        <v>4222</v>
      </c>
      <c r="B121" s="67"/>
      <c r="C121" s="68"/>
      <c r="D121" s="65" t="s">
        <v>112</v>
      </c>
      <c r="E121" s="124"/>
      <c r="F121" s="124"/>
      <c r="G121" s="124"/>
      <c r="H121" s="124"/>
      <c r="I121" s="124"/>
      <c r="J121" s="124"/>
      <c r="K121" s="124"/>
    </row>
    <row r="122" spans="1:11" x14ac:dyDescent="0.25">
      <c r="A122" s="66">
        <v>4223</v>
      </c>
      <c r="B122" s="67"/>
      <c r="C122" s="68"/>
      <c r="D122" s="65" t="s">
        <v>113</v>
      </c>
      <c r="E122" s="124"/>
      <c r="F122" s="124"/>
      <c r="G122" s="124"/>
      <c r="H122" s="124"/>
      <c r="I122" s="124"/>
      <c r="J122" s="124"/>
      <c r="K122" s="124"/>
    </row>
    <row r="123" spans="1:11" x14ac:dyDescent="0.25">
      <c r="A123" s="66">
        <v>4225</v>
      </c>
      <c r="B123" s="67"/>
      <c r="C123" s="68"/>
      <c r="D123" s="65" t="s">
        <v>114</v>
      </c>
      <c r="E123" s="124"/>
      <c r="F123" s="124"/>
      <c r="G123" s="124"/>
      <c r="H123" s="124"/>
      <c r="I123" s="124"/>
      <c r="J123" s="124"/>
      <c r="K123" s="124"/>
    </row>
    <row r="124" spans="1:11" x14ac:dyDescent="0.25">
      <c r="A124" s="66">
        <v>4226</v>
      </c>
      <c r="B124" s="67"/>
      <c r="C124" s="68"/>
      <c r="D124" s="65" t="s">
        <v>115</v>
      </c>
      <c r="E124" s="124"/>
      <c r="F124" s="124"/>
      <c r="G124" s="124"/>
      <c r="H124" s="124"/>
      <c r="I124" s="124"/>
      <c r="J124" s="124"/>
      <c r="K124" s="124"/>
    </row>
    <row r="125" spans="1:11" ht="25.5" x14ac:dyDescent="0.25">
      <c r="A125" s="66">
        <v>4227</v>
      </c>
      <c r="B125" s="67"/>
      <c r="C125" s="68"/>
      <c r="D125" s="65" t="s">
        <v>116</v>
      </c>
      <c r="E125" s="124"/>
      <c r="F125" s="124"/>
      <c r="G125" s="124">
        <v>6000</v>
      </c>
      <c r="H125" s="124">
        <f>G125/7.5345</f>
        <v>796.33685048775624</v>
      </c>
      <c r="I125" s="124"/>
      <c r="J125" s="124"/>
      <c r="K125" s="124"/>
    </row>
    <row r="126" spans="1:11" ht="25.5" x14ac:dyDescent="0.25">
      <c r="A126" s="52">
        <v>424</v>
      </c>
      <c r="B126" s="53"/>
      <c r="C126" s="54"/>
      <c r="D126" s="55" t="s">
        <v>71</v>
      </c>
      <c r="E126" s="123">
        <f t="shared" ref="E126:K126" si="34">SUM(E127)</f>
        <v>7043</v>
      </c>
      <c r="F126" s="123">
        <f t="shared" si="34"/>
        <v>934.76673966421129</v>
      </c>
      <c r="G126" s="123">
        <f t="shared" si="34"/>
        <v>6600</v>
      </c>
      <c r="H126" s="123">
        <f t="shared" si="34"/>
        <v>875.97053553653188</v>
      </c>
      <c r="I126" s="123">
        <f t="shared" si="34"/>
        <v>530</v>
      </c>
      <c r="J126" s="123">
        <f t="shared" si="34"/>
        <v>535</v>
      </c>
      <c r="K126" s="123">
        <f t="shared" si="34"/>
        <v>535</v>
      </c>
    </row>
    <row r="127" spans="1:11" x14ac:dyDescent="0.25">
      <c r="A127" s="66">
        <v>4241</v>
      </c>
      <c r="B127" s="67"/>
      <c r="C127" s="68"/>
      <c r="D127" s="65" t="s">
        <v>117</v>
      </c>
      <c r="E127" s="124">
        <v>7043</v>
      </c>
      <c r="F127" s="124">
        <f>E127/7.5345</f>
        <v>934.76673966421129</v>
      </c>
      <c r="G127" s="124">
        <v>6600</v>
      </c>
      <c r="H127" s="124">
        <f>G127/7.5345</f>
        <v>875.97053553653188</v>
      </c>
      <c r="I127" s="124">
        <v>530</v>
      </c>
      <c r="J127" s="124">
        <v>535</v>
      </c>
      <c r="K127" s="124">
        <v>535</v>
      </c>
    </row>
    <row r="128" spans="1:11" x14ac:dyDescent="0.25">
      <c r="A128" s="66"/>
      <c r="B128" s="67"/>
      <c r="C128" s="68"/>
      <c r="D128" s="65"/>
      <c r="E128" s="124"/>
      <c r="F128" s="124"/>
      <c r="G128" s="124"/>
      <c r="H128" s="124"/>
      <c r="I128" s="124"/>
      <c r="J128" s="124"/>
      <c r="K128" s="124"/>
    </row>
    <row r="129" spans="1:11" x14ac:dyDescent="0.25">
      <c r="A129" s="66"/>
      <c r="B129" s="67"/>
      <c r="C129" s="68"/>
      <c r="D129" s="63" t="s">
        <v>118</v>
      </c>
      <c r="E129" s="125">
        <f>SUM(E64+E117)</f>
        <v>102949</v>
      </c>
      <c r="F129" s="125">
        <f t="shared" ref="F129:K129" si="35">SUM(F64+F117)</f>
        <v>13663.680403477338</v>
      </c>
      <c r="G129" s="125">
        <f>SUM(G64+G117)</f>
        <v>154600</v>
      </c>
      <c r="H129" s="125">
        <f t="shared" si="35"/>
        <v>20518.946180901185</v>
      </c>
      <c r="I129" s="125">
        <f t="shared" si="35"/>
        <v>20860</v>
      </c>
      <c r="J129" s="125">
        <f t="shared" si="35"/>
        <v>20935</v>
      </c>
      <c r="K129" s="125">
        <f t="shared" si="35"/>
        <v>20935</v>
      </c>
    </row>
    <row r="130" spans="1:11" x14ac:dyDescent="0.25">
      <c r="A130" s="66"/>
      <c r="B130" s="67"/>
      <c r="C130" s="68"/>
      <c r="D130" s="65"/>
      <c r="E130" s="10"/>
      <c r="F130" s="10"/>
      <c r="G130" s="10"/>
      <c r="H130" s="10"/>
      <c r="I130" s="10"/>
      <c r="J130" s="10"/>
      <c r="K130" s="10"/>
    </row>
    <row r="131" spans="1:11" ht="25.5" x14ac:dyDescent="0.25">
      <c r="A131" s="201" t="s">
        <v>33</v>
      </c>
      <c r="B131" s="202"/>
      <c r="C131" s="203"/>
      <c r="D131" s="24" t="s">
        <v>34</v>
      </c>
      <c r="E131" s="24" t="s">
        <v>153</v>
      </c>
      <c r="F131" s="24" t="s">
        <v>151</v>
      </c>
      <c r="G131" s="24" t="s">
        <v>155</v>
      </c>
      <c r="H131" s="24" t="s">
        <v>152</v>
      </c>
      <c r="I131" s="24" t="s">
        <v>119</v>
      </c>
      <c r="J131" s="24" t="s">
        <v>120</v>
      </c>
      <c r="K131" s="24" t="s">
        <v>51</v>
      </c>
    </row>
    <row r="132" spans="1:11" ht="15" customHeight="1" x14ac:dyDescent="0.25">
      <c r="A132" s="210" t="s">
        <v>121</v>
      </c>
      <c r="B132" s="211"/>
      <c r="C132" s="212"/>
      <c r="D132" s="115" t="s">
        <v>40</v>
      </c>
      <c r="E132" s="10"/>
      <c r="F132" s="10"/>
      <c r="G132" s="10"/>
      <c r="H132" s="10"/>
      <c r="I132" s="10"/>
      <c r="J132" s="10"/>
      <c r="K132" s="10"/>
    </row>
    <row r="133" spans="1:11" ht="25.5" customHeight="1" x14ac:dyDescent="0.25">
      <c r="A133" s="210" t="s">
        <v>162</v>
      </c>
      <c r="B133" s="211"/>
      <c r="C133" s="212"/>
      <c r="D133" s="115" t="s">
        <v>166</v>
      </c>
      <c r="E133" s="10"/>
      <c r="F133" s="10"/>
      <c r="G133" s="10"/>
      <c r="H133" s="10"/>
      <c r="I133" s="10"/>
      <c r="J133" s="10"/>
      <c r="K133" s="10"/>
    </row>
    <row r="134" spans="1:11" ht="15" customHeight="1" x14ac:dyDescent="0.25">
      <c r="A134" s="204">
        <v>44</v>
      </c>
      <c r="B134" s="205"/>
      <c r="C134" s="206"/>
      <c r="D134" s="116" t="s">
        <v>163</v>
      </c>
      <c r="E134" s="10"/>
      <c r="F134" s="10"/>
      <c r="G134" s="10"/>
      <c r="H134" s="10"/>
      <c r="I134" s="10"/>
      <c r="J134" s="10"/>
      <c r="K134" s="10"/>
    </row>
    <row r="135" spans="1:11" x14ac:dyDescent="0.25">
      <c r="A135" s="207">
        <v>3</v>
      </c>
      <c r="B135" s="208"/>
      <c r="C135" s="209"/>
      <c r="D135" s="117" t="s">
        <v>23</v>
      </c>
      <c r="E135" s="121">
        <f t="shared" ref="E135:K135" si="36">SUM(E136+E146+E180+E184)</f>
        <v>268529.78999999998</v>
      </c>
      <c r="F135" s="121">
        <f t="shared" si="36"/>
        <v>35640.027871789767</v>
      </c>
      <c r="G135" s="121">
        <f t="shared" si="36"/>
        <v>271000</v>
      </c>
      <c r="H135" s="121">
        <f t="shared" si="36"/>
        <v>35967.881080363652</v>
      </c>
      <c r="I135" s="121">
        <f t="shared" si="36"/>
        <v>34363</v>
      </c>
      <c r="J135" s="121">
        <f t="shared" si="36"/>
        <v>35408</v>
      </c>
      <c r="K135" s="121">
        <f t="shared" si="36"/>
        <v>35522</v>
      </c>
    </row>
    <row r="136" spans="1:11" x14ac:dyDescent="0.25">
      <c r="A136" s="213">
        <v>31</v>
      </c>
      <c r="B136" s="214"/>
      <c r="C136" s="215"/>
      <c r="D136" s="57" t="s">
        <v>24</v>
      </c>
      <c r="E136" s="122">
        <f t="shared" ref="E136:K136" si="37">SUM(E137+E141+E143)</f>
        <v>0</v>
      </c>
      <c r="F136" s="122">
        <f t="shared" si="37"/>
        <v>0</v>
      </c>
      <c r="G136" s="122">
        <f t="shared" si="37"/>
        <v>0</v>
      </c>
      <c r="H136" s="122">
        <f t="shared" si="37"/>
        <v>0</v>
      </c>
      <c r="I136" s="122">
        <f t="shared" si="37"/>
        <v>0</v>
      </c>
      <c r="J136" s="122">
        <f t="shared" si="37"/>
        <v>0</v>
      </c>
      <c r="K136" s="122">
        <f t="shared" si="37"/>
        <v>0</v>
      </c>
    </row>
    <row r="137" spans="1:11" ht="15" customHeight="1" x14ac:dyDescent="0.25">
      <c r="A137" s="52">
        <v>311</v>
      </c>
      <c r="B137" s="53"/>
      <c r="C137" s="54"/>
      <c r="D137" s="55" t="s">
        <v>60</v>
      </c>
      <c r="E137" s="123">
        <f t="shared" ref="E137:K137" si="38">SUM(E138:E140)</f>
        <v>0</v>
      </c>
      <c r="F137" s="123">
        <f t="shared" si="38"/>
        <v>0</v>
      </c>
      <c r="G137" s="123">
        <f t="shared" si="38"/>
        <v>0</v>
      </c>
      <c r="H137" s="123">
        <f t="shared" si="38"/>
        <v>0</v>
      </c>
      <c r="I137" s="123">
        <f t="shared" si="38"/>
        <v>0</v>
      </c>
      <c r="J137" s="123">
        <f t="shared" si="38"/>
        <v>0</v>
      </c>
      <c r="K137" s="123">
        <f t="shared" si="38"/>
        <v>0</v>
      </c>
    </row>
    <row r="138" spans="1:11" x14ac:dyDescent="0.25">
      <c r="A138" s="112">
        <v>3111</v>
      </c>
      <c r="B138" s="113"/>
      <c r="C138" s="114"/>
      <c r="D138" s="111" t="s">
        <v>72</v>
      </c>
      <c r="E138" s="124">
        <v>0</v>
      </c>
      <c r="F138" s="124">
        <f>E138/7.5345</f>
        <v>0</v>
      </c>
      <c r="G138" s="124">
        <v>0</v>
      </c>
      <c r="H138" s="124">
        <v>0</v>
      </c>
      <c r="I138" s="124">
        <v>0</v>
      </c>
      <c r="J138" s="124">
        <v>0</v>
      </c>
      <c r="K138" s="124">
        <v>0</v>
      </c>
    </row>
    <row r="139" spans="1:11" x14ac:dyDescent="0.25">
      <c r="A139" s="112">
        <v>3113</v>
      </c>
      <c r="B139" s="113"/>
      <c r="C139" s="114"/>
      <c r="D139" s="111" t="s">
        <v>73</v>
      </c>
      <c r="E139" s="124"/>
      <c r="F139" s="124"/>
      <c r="G139" s="124"/>
      <c r="H139" s="124"/>
      <c r="I139" s="124"/>
      <c r="J139" s="124"/>
      <c r="K139" s="124"/>
    </row>
    <row r="140" spans="1:11" x14ac:dyDescent="0.25">
      <c r="A140" s="112">
        <v>3114</v>
      </c>
      <c r="B140" s="113"/>
      <c r="C140" s="114"/>
      <c r="D140" s="111" t="s">
        <v>74</v>
      </c>
      <c r="E140" s="124">
        <v>0</v>
      </c>
      <c r="F140" s="124">
        <f>E140/7.5345</f>
        <v>0</v>
      </c>
      <c r="G140" s="124"/>
      <c r="H140" s="124"/>
      <c r="I140" s="124"/>
      <c r="J140" s="124"/>
      <c r="K140" s="124"/>
    </row>
    <row r="141" spans="1:11" x14ac:dyDescent="0.25">
      <c r="A141" s="52">
        <v>312</v>
      </c>
      <c r="B141" s="53"/>
      <c r="C141" s="54"/>
      <c r="D141" s="55" t="s">
        <v>75</v>
      </c>
      <c r="E141" s="123">
        <f t="shared" ref="E141:K141" si="39">SUM(E142)</f>
        <v>0</v>
      </c>
      <c r="F141" s="123">
        <f t="shared" si="39"/>
        <v>0</v>
      </c>
      <c r="G141" s="123">
        <f t="shared" si="39"/>
        <v>0</v>
      </c>
      <c r="H141" s="123">
        <f t="shared" si="39"/>
        <v>0</v>
      </c>
      <c r="I141" s="123">
        <f t="shared" si="39"/>
        <v>0</v>
      </c>
      <c r="J141" s="123">
        <f t="shared" si="39"/>
        <v>0</v>
      </c>
      <c r="K141" s="123">
        <f t="shared" si="39"/>
        <v>0</v>
      </c>
    </row>
    <row r="142" spans="1:11" x14ac:dyDescent="0.25">
      <c r="A142" s="112">
        <v>3121</v>
      </c>
      <c r="B142" s="113"/>
      <c r="C142" s="114"/>
      <c r="D142" s="111" t="s">
        <v>76</v>
      </c>
      <c r="E142" s="124"/>
      <c r="F142" s="124"/>
      <c r="G142" s="124"/>
      <c r="H142" s="124"/>
      <c r="I142" s="124"/>
      <c r="J142" s="124"/>
      <c r="K142" s="124"/>
    </row>
    <row r="143" spans="1:11" x14ac:dyDescent="0.25">
      <c r="A143" s="52">
        <v>313</v>
      </c>
      <c r="B143" s="53"/>
      <c r="C143" s="54"/>
      <c r="D143" s="55" t="s">
        <v>61</v>
      </c>
      <c r="E143" s="123">
        <f>SUM(E144:E145)</f>
        <v>0</v>
      </c>
      <c r="F143" s="123">
        <f>SUM(F144:F145)</f>
        <v>0</v>
      </c>
      <c r="G143" s="123">
        <f t="shared" ref="G143" si="40">SUM(G144:G145)</f>
        <v>0</v>
      </c>
      <c r="H143" s="123">
        <f t="shared" ref="H143" si="41">SUM(H144:H145)</f>
        <v>0</v>
      </c>
      <c r="I143" s="123">
        <f t="shared" ref="I143" si="42">SUM(I144:I145)</f>
        <v>0</v>
      </c>
      <c r="J143" s="123">
        <f t="shared" ref="J143" si="43">SUM(J144:J145)</f>
        <v>0</v>
      </c>
      <c r="K143" s="123">
        <f t="shared" ref="K143" si="44">SUM(K144:K145)</f>
        <v>0</v>
      </c>
    </row>
    <row r="144" spans="1:11" x14ac:dyDescent="0.25">
      <c r="A144" s="112">
        <v>3131</v>
      </c>
      <c r="B144" s="113"/>
      <c r="C144" s="114"/>
      <c r="D144" s="111" t="s">
        <v>77</v>
      </c>
      <c r="E144" s="124"/>
      <c r="F144" s="124"/>
      <c r="G144" s="124"/>
      <c r="H144" s="124"/>
      <c r="I144" s="124"/>
      <c r="J144" s="124"/>
      <c r="K144" s="124"/>
    </row>
    <row r="145" spans="1:11" ht="25.5" x14ac:dyDescent="0.25">
      <c r="A145" s="112">
        <v>3132</v>
      </c>
      <c r="B145" s="113"/>
      <c r="C145" s="114"/>
      <c r="D145" s="111" t="s">
        <v>78</v>
      </c>
      <c r="E145" s="124"/>
      <c r="F145" s="124"/>
      <c r="G145" s="124"/>
      <c r="H145" s="124"/>
      <c r="I145" s="124"/>
      <c r="J145" s="124"/>
      <c r="K145" s="124"/>
    </row>
    <row r="146" spans="1:11" x14ac:dyDescent="0.25">
      <c r="A146" s="213">
        <v>32</v>
      </c>
      <c r="B146" s="214"/>
      <c r="C146" s="215"/>
      <c r="D146" s="57" t="s">
        <v>35</v>
      </c>
      <c r="E146" s="122">
        <f t="shared" ref="E146:K146" si="45">SUM(E147+E152+E160+E170+E172)</f>
        <v>264781.78999999998</v>
      </c>
      <c r="F146" s="122">
        <f t="shared" si="45"/>
        <v>35142.582785851751</v>
      </c>
      <c r="G146" s="122">
        <f t="shared" si="45"/>
        <v>269500</v>
      </c>
      <c r="H146" s="122">
        <f t="shared" si="45"/>
        <v>35768.796867741716</v>
      </c>
      <c r="I146" s="122">
        <f>SUM(I147+I152+I160+I170+I172)</f>
        <v>33853</v>
      </c>
      <c r="J146" s="122">
        <f t="shared" si="45"/>
        <v>34888</v>
      </c>
      <c r="K146" s="122">
        <f t="shared" si="45"/>
        <v>35002</v>
      </c>
    </row>
    <row r="147" spans="1:11" x14ac:dyDescent="0.25">
      <c r="A147" s="52">
        <v>321</v>
      </c>
      <c r="B147" s="53"/>
      <c r="C147" s="54"/>
      <c r="D147" s="55" t="s">
        <v>62</v>
      </c>
      <c r="E147" s="123">
        <f t="shared" ref="E147:K147" si="46">SUM(E148:E151)</f>
        <v>23175.5</v>
      </c>
      <c r="F147" s="123">
        <f t="shared" si="46"/>
        <v>3075.9174464131656</v>
      </c>
      <c r="G147" s="123">
        <f t="shared" si="46"/>
        <v>30500</v>
      </c>
      <c r="H147" s="123">
        <f t="shared" si="46"/>
        <v>4048.0456566460944</v>
      </c>
      <c r="I147" s="123">
        <f t="shared" si="46"/>
        <v>2620</v>
      </c>
      <c r="J147" s="123">
        <f t="shared" si="46"/>
        <v>2825</v>
      </c>
      <c r="K147" s="123">
        <f t="shared" si="46"/>
        <v>3025</v>
      </c>
    </row>
    <row r="148" spans="1:11" x14ac:dyDescent="0.25">
      <c r="A148" s="112">
        <v>3211</v>
      </c>
      <c r="B148" s="113"/>
      <c r="C148" s="114"/>
      <c r="D148" s="111" t="s">
        <v>79</v>
      </c>
      <c r="E148" s="124">
        <v>9378</v>
      </c>
      <c r="F148" s="124">
        <f>E148/7.5345</f>
        <v>1244.674497312363</v>
      </c>
      <c r="G148" s="124">
        <v>18000</v>
      </c>
      <c r="H148" s="124">
        <f t="shared" ref="H148:H151" si="47">G148/7.5345</f>
        <v>2389.0105514632687</v>
      </c>
      <c r="I148" s="124">
        <v>1000</v>
      </c>
      <c r="J148" s="124">
        <v>1200</v>
      </c>
      <c r="K148" s="124">
        <v>1400</v>
      </c>
    </row>
    <row r="149" spans="1:11" ht="25.5" x14ac:dyDescent="0.25">
      <c r="A149" s="112">
        <v>3212</v>
      </c>
      <c r="B149" s="113"/>
      <c r="C149" s="114"/>
      <c r="D149" s="111" t="s">
        <v>80</v>
      </c>
      <c r="E149" s="124"/>
      <c r="F149" s="124">
        <f t="shared" ref="F149:F151" si="48">E149/7.5345</f>
        <v>0</v>
      </c>
      <c r="G149" s="124"/>
      <c r="H149" s="124">
        <f t="shared" si="47"/>
        <v>0</v>
      </c>
      <c r="I149" s="124"/>
      <c r="J149" s="124"/>
      <c r="K149" s="124"/>
    </row>
    <row r="150" spans="1:11" x14ac:dyDescent="0.25">
      <c r="A150" s="112">
        <v>3213</v>
      </c>
      <c r="B150" s="113"/>
      <c r="C150" s="114"/>
      <c r="D150" s="111" t="s">
        <v>81</v>
      </c>
      <c r="E150" s="124">
        <v>5537.5</v>
      </c>
      <c r="F150" s="124">
        <f t="shared" si="48"/>
        <v>734.95255159599174</v>
      </c>
      <c r="G150" s="124">
        <v>3500</v>
      </c>
      <c r="H150" s="124">
        <f t="shared" si="47"/>
        <v>464.52982945119118</v>
      </c>
      <c r="I150" s="124">
        <v>220</v>
      </c>
      <c r="J150" s="124">
        <v>225</v>
      </c>
      <c r="K150" s="124">
        <v>225</v>
      </c>
    </row>
    <row r="151" spans="1:11" ht="25.5" x14ac:dyDescent="0.25">
      <c r="A151" s="112">
        <v>3214</v>
      </c>
      <c r="B151" s="113"/>
      <c r="C151" s="114"/>
      <c r="D151" s="111" t="s">
        <v>82</v>
      </c>
      <c r="E151" s="124">
        <v>8260</v>
      </c>
      <c r="F151" s="124">
        <f t="shared" si="48"/>
        <v>1096.2903975048112</v>
      </c>
      <c r="G151" s="124">
        <v>9000</v>
      </c>
      <c r="H151" s="124">
        <f t="shared" si="47"/>
        <v>1194.5052757316344</v>
      </c>
      <c r="I151" s="124">
        <v>1400</v>
      </c>
      <c r="J151" s="124">
        <v>1400</v>
      </c>
      <c r="K151" s="124">
        <v>1400</v>
      </c>
    </row>
    <row r="152" spans="1:11" x14ac:dyDescent="0.25">
      <c r="A152" s="52">
        <v>322</v>
      </c>
      <c r="B152" s="53"/>
      <c r="C152" s="54"/>
      <c r="D152" s="55" t="s">
        <v>63</v>
      </c>
      <c r="E152" s="123">
        <f t="shared" ref="E152:K152" si="49">SUM(E153:E159)</f>
        <v>130576.55</v>
      </c>
      <c r="F152" s="123">
        <f t="shared" si="49"/>
        <v>17330.486429092842</v>
      </c>
      <c r="G152" s="123">
        <f t="shared" si="49"/>
        <v>145100</v>
      </c>
      <c r="H152" s="123">
        <f t="shared" si="49"/>
        <v>19258.079500962238</v>
      </c>
      <c r="I152" s="123">
        <f t="shared" si="49"/>
        <v>16930</v>
      </c>
      <c r="J152" s="123">
        <f t="shared" si="49"/>
        <v>17386</v>
      </c>
      <c r="K152" s="123">
        <f t="shared" si="49"/>
        <v>17335</v>
      </c>
    </row>
    <row r="153" spans="1:11" ht="25.5" x14ac:dyDescent="0.25">
      <c r="A153" s="112">
        <v>3221</v>
      </c>
      <c r="B153" s="113"/>
      <c r="C153" s="114"/>
      <c r="D153" s="111" t="s">
        <v>83</v>
      </c>
      <c r="E153" s="124">
        <v>34478.67</v>
      </c>
      <c r="F153" s="124">
        <f t="shared" ref="F153:F159" si="50">E153/7.5345</f>
        <v>4576.1059128011148</v>
      </c>
      <c r="G153" s="124">
        <v>37000</v>
      </c>
      <c r="H153" s="124">
        <f t="shared" ref="H153:H159" si="51">G153/7.5345</f>
        <v>4910.7439113411638</v>
      </c>
      <c r="I153" s="124">
        <v>4650</v>
      </c>
      <c r="J153" s="124">
        <v>4775</v>
      </c>
      <c r="K153" s="124">
        <v>4761</v>
      </c>
    </row>
    <row r="154" spans="1:11" x14ac:dyDescent="0.25">
      <c r="A154" s="112">
        <v>3222</v>
      </c>
      <c r="B154" s="113"/>
      <c r="C154" s="114"/>
      <c r="D154" s="111" t="s">
        <v>84</v>
      </c>
      <c r="E154" s="124">
        <v>0</v>
      </c>
      <c r="F154" s="124">
        <f t="shared" si="50"/>
        <v>0</v>
      </c>
      <c r="G154" s="124">
        <v>0</v>
      </c>
      <c r="H154" s="124">
        <f t="shared" si="51"/>
        <v>0</v>
      </c>
      <c r="I154" s="124"/>
      <c r="J154" s="124"/>
      <c r="K154" s="124"/>
    </row>
    <row r="155" spans="1:11" x14ac:dyDescent="0.25">
      <c r="A155" s="112">
        <v>3223</v>
      </c>
      <c r="B155" s="113"/>
      <c r="C155" s="114"/>
      <c r="D155" s="111" t="s">
        <v>85</v>
      </c>
      <c r="E155" s="124">
        <v>69725.53</v>
      </c>
      <c r="F155" s="124">
        <f t="shared" si="50"/>
        <v>9254.1681597982606</v>
      </c>
      <c r="G155" s="124">
        <v>65000</v>
      </c>
      <c r="H155" s="124">
        <f t="shared" si="51"/>
        <v>8626.9825469506923</v>
      </c>
      <c r="I155" s="124">
        <v>8630</v>
      </c>
      <c r="J155" s="124">
        <v>8863</v>
      </c>
      <c r="K155" s="124">
        <v>8838</v>
      </c>
    </row>
    <row r="156" spans="1:11" ht="25.5" x14ac:dyDescent="0.25">
      <c r="A156" s="112">
        <v>3224</v>
      </c>
      <c r="B156" s="113"/>
      <c r="C156" s="114"/>
      <c r="D156" s="111" t="s">
        <v>86</v>
      </c>
      <c r="E156" s="124">
        <v>13775.19</v>
      </c>
      <c r="F156" s="124">
        <f t="shared" si="50"/>
        <v>1828.2819032450727</v>
      </c>
      <c r="G156" s="124">
        <v>16000</v>
      </c>
      <c r="H156" s="124">
        <f t="shared" si="51"/>
        <v>2123.5649346340169</v>
      </c>
      <c r="I156" s="124">
        <v>2150</v>
      </c>
      <c r="J156" s="124">
        <v>2208</v>
      </c>
      <c r="K156" s="124">
        <v>2201</v>
      </c>
    </row>
    <row r="157" spans="1:11" x14ac:dyDescent="0.25">
      <c r="A157" s="112">
        <v>3225</v>
      </c>
      <c r="B157" s="113"/>
      <c r="C157" s="114"/>
      <c r="D157" s="111" t="s">
        <v>87</v>
      </c>
      <c r="E157" s="124">
        <v>10648.41</v>
      </c>
      <c r="F157" s="124">
        <f t="shared" si="50"/>
        <v>1413.2868803503882</v>
      </c>
      <c r="G157" s="124">
        <v>24100</v>
      </c>
      <c r="H157" s="124">
        <f t="shared" si="51"/>
        <v>3198.6196827924878</v>
      </c>
      <c r="I157" s="124">
        <v>1350</v>
      </c>
      <c r="J157" s="124">
        <v>1386</v>
      </c>
      <c r="K157" s="124">
        <v>1382</v>
      </c>
    </row>
    <row r="158" spans="1:11" ht="25.5" x14ac:dyDescent="0.25">
      <c r="A158" s="112">
        <v>3226</v>
      </c>
      <c r="B158" s="113"/>
      <c r="C158" s="114"/>
      <c r="D158" s="111" t="s">
        <v>88</v>
      </c>
      <c r="E158" s="124"/>
      <c r="F158" s="124">
        <f t="shared" si="50"/>
        <v>0</v>
      </c>
      <c r="G158" s="124"/>
      <c r="H158" s="124">
        <f t="shared" si="51"/>
        <v>0</v>
      </c>
      <c r="I158" s="124"/>
      <c r="J158" s="124"/>
      <c r="K158" s="124">
        <f t="shared" ref="K158" si="52">I158*2.4%+I158</f>
        <v>0</v>
      </c>
    </row>
    <row r="159" spans="1:11" ht="25.5" x14ac:dyDescent="0.25">
      <c r="A159" s="112">
        <v>3227</v>
      </c>
      <c r="B159" s="113"/>
      <c r="C159" s="114"/>
      <c r="D159" s="111" t="s">
        <v>89</v>
      </c>
      <c r="E159" s="124">
        <v>1948.75</v>
      </c>
      <c r="F159" s="124">
        <f t="shared" si="50"/>
        <v>258.6435728980025</v>
      </c>
      <c r="G159" s="124">
        <v>3000</v>
      </c>
      <c r="H159" s="124">
        <f t="shared" si="51"/>
        <v>398.16842524387812</v>
      </c>
      <c r="I159" s="124">
        <v>150</v>
      </c>
      <c r="J159" s="124">
        <v>154</v>
      </c>
      <c r="K159" s="124">
        <v>153</v>
      </c>
    </row>
    <row r="160" spans="1:11" x14ac:dyDescent="0.25">
      <c r="A160" s="52">
        <v>323</v>
      </c>
      <c r="B160" s="53"/>
      <c r="C160" s="54"/>
      <c r="D160" s="55" t="s">
        <v>64</v>
      </c>
      <c r="E160" s="123">
        <f t="shared" ref="E160:K160" si="53">SUM(E161:E169)</f>
        <v>98253.599999999991</v>
      </c>
      <c r="F160" s="123">
        <f t="shared" si="53"/>
        <v>13040.493728847303</v>
      </c>
      <c r="G160" s="123">
        <f t="shared" si="53"/>
        <v>90700</v>
      </c>
      <c r="H160" s="123">
        <f t="shared" si="53"/>
        <v>12037.958723206582</v>
      </c>
      <c r="I160" s="123">
        <f t="shared" si="53"/>
        <v>13633</v>
      </c>
      <c r="J160" s="123">
        <f t="shared" si="53"/>
        <v>14002</v>
      </c>
      <c r="K160" s="123">
        <f t="shared" si="53"/>
        <v>13967</v>
      </c>
    </row>
    <row r="161" spans="1:11" x14ac:dyDescent="0.25">
      <c r="A161" s="112">
        <v>3231</v>
      </c>
      <c r="B161" s="113"/>
      <c r="C161" s="114"/>
      <c r="D161" s="111" t="s">
        <v>90</v>
      </c>
      <c r="E161" s="124">
        <v>28683.200000000001</v>
      </c>
      <c r="F161" s="124">
        <f>E161/7.5345</f>
        <v>3806.9148583184019</v>
      </c>
      <c r="G161" s="124">
        <v>22000</v>
      </c>
      <c r="H161" s="124">
        <f t="shared" ref="H161:H168" si="54">G161/7.5345</f>
        <v>2919.9017851217732</v>
      </c>
      <c r="I161" s="124">
        <v>3320</v>
      </c>
      <c r="J161" s="124">
        <v>3410</v>
      </c>
      <c r="K161" s="124">
        <v>3400</v>
      </c>
    </row>
    <row r="162" spans="1:11" ht="25.5" x14ac:dyDescent="0.25">
      <c r="A162" s="112">
        <v>3232</v>
      </c>
      <c r="B162" s="113"/>
      <c r="C162" s="114"/>
      <c r="D162" s="111" t="s">
        <v>91</v>
      </c>
      <c r="E162" s="124">
        <v>13533.48</v>
      </c>
      <c r="F162" s="124">
        <f t="shared" ref="F162:F171" si="55">E162/7.5345</f>
        <v>1796.2014732231733</v>
      </c>
      <c r="G162" s="124">
        <v>12000</v>
      </c>
      <c r="H162" s="124">
        <f t="shared" si="54"/>
        <v>1592.6737009755125</v>
      </c>
      <c r="I162" s="124">
        <v>2120</v>
      </c>
      <c r="J162" s="124">
        <v>2180</v>
      </c>
      <c r="K162" s="124">
        <v>2180</v>
      </c>
    </row>
    <row r="163" spans="1:11" x14ac:dyDescent="0.25">
      <c r="A163" s="112">
        <v>3233</v>
      </c>
      <c r="B163" s="113"/>
      <c r="C163" s="114"/>
      <c r="D163" s="111" t="s">
        <v>92</v>
      </c>
      <c r="E163" s="124">
        <v>4548</v>
      </c>
      <c r="F163" s="124">
        <f t="shared" si="55"/>
        <v>603.62333266971928</v>
      </c>
      <c r="G163" s="124">
        <v>3000</v>
      </c>
      <c r="H163" s="124">
        <f t="shared" si="54"/>
        <v>398.16842524387812</v>
      </c>
      <c r="I163" s="124">
        <v>128</v>
      </c>
      <c r="J163" s="124">
        <v>128</v>
      </c>
      <c r="K163" s="124">
        <v>128</v>
      </c>
    </row>
    <row r="164" spans="1:11" x14ac:dyDescent="0.25">
      <c r="A164" s="112">
        <v>3234</v>
      </c>
      <c r="B164" s="113"/>
      <c r="C164" s="114"/>
      <c r="D164" s="111" t="s">
        <v>93</v>
      </c>
      <c r="E164" s="124">
        <v>22176.47</v>
      </c>
      <c r="F164" s="124">
        <f t="shared" si="55"/>
        <v>2943.3233791227021</v>
      </c>
      <c r="G164" s="124">
        <v>20000</v>
      </c>
      <c r="H164" s="124">
        <f t="shared" si="54"/>
        <v>2654.4561682925209</v>
      </c>
      <c r="I164" s="124">
        <v>3320</v>
      </c>
      <c r="J164" s="124">
        <v>3410</v>
      </c>
      <c r="K164" s="124">
        <v>3400</v>
      </c>
    </row>
    <row r="165" spans="1:11" x14ac:dyDescent="0.25">
      <c r="A165" s="112">
        <v>3235</v>
      </c>
      <c r="B165" s="113"/>
      <c r="C165" s="114"/>
      <c r="D165" s="111" t="s">
        <v>94</v>
      </c>
      <c r="E165" s="124">
        <v>1684</v>
      </c>
      <c r="F165" s="124">
        <f t="shared" si="55"/>
        <v>223.50520937023026</v>
      </c>
      <c r="G165" s="124"/>
      <c r="H165" s="124">
        <f t="shared" si="54"/>
        <v>0</v>
      </c>
      <c r="I165" s="124"/>
      <c r="J165" s="124">
        <f t="shared" ref="J165:J169" si="56">I165*2.7%+I165</f>
        <v>0</v>
      </c>
      <c r="K165" s="124">
        <f t="shared" ref="K165:K169" si="57">I165*2.4%+I165</f>
        <v>0</v>
      </c>
    </row>
    <row r="166" spans="1:11" x14ac:dyDescent="0.25">
      <c r="A166" s="112">
        <v>3236</v>
      </c>
      <c r="B166" s="113"/>
      <c r="C166" s="114"/>
      <c r="D166" s="111" t="s">
        <v>95</v>
      </c>
      <c r="E166" s="124">
        <v>16711.93</v>
      </c>
      <c r="F166" s="124">
        <f t="shared" si="55"/>
        <v>2218.0542836286413</v>
      </c>
      <c r="G166" s="124">
        <v>17500</v>
      </c>
      <c r="H166" s="124">
        <f t="shared" si="54"/>
        <v>2322.649147255956</v>
      </c>
      <c r="I166" s="124">
        <v>2655</v>
      </c>
      <c r="J166" s="124">
        <v>2727</v>
      </c>
      <c r="K166" s="124">
        <v>2719</v>
      </c>
    </row>
    <row r="167" spans="1:11" x14ac:dyDescent="0.25">
      <c r="A167" s="112">
        <v>3237</v>
      </c>
      <c r="B167" s="113"/>
      <c r="C167" s="114"/>
      <c r="D167" s="111" t="s">
        <v>96</v>
      </c>
      <c r="E167" s="124"/>
      <c r="F167" s="124">
        <f t="shared" si="55"/>
        <v>0</v>
      </c>
      <c r="G167" s="124"/>
      <c r="H167" s="124">
        <f t="shared" si="54"/>
        <v>0</v>
      </c>
      <c r="I167" s="124"/>
      <c r="J167" s="124">
        <f t="shared" si="56"/>
        <v>0</v>
      </c>
      <c r="K167" s="124">
        <f t="shared" si="57"/>
        <v>0</v>
      </c>
    </row>
    <row r="168" spans="1:11" x14ac:dyDescent="0.25">
      <c r="A168" s="112">
        <v>3238</v>
      </c>
      <c r="B168" s="113"/>
      <c r="C168" s="114"/>
      <c r="D168" s="111" t="s">
        <v>97</v>
      </c>
      <c r="E168" s="124">
        <v>6981.27</v>
      </c>
      <c r="F168" s="124">
        <f t="shared" si="55"/>
        <v>926.57376070077646</v>
      </c>
      <c r="G168" s="124">
        <v>9200</v>
      </c>
      <c r="H168" s="124">
        <f t="shared" si="54"/>
        <v>1221.0498374145595</v>
      </c>
      <c r="I168" s="124">
        <v>1090</v>
      </c>
      <c r="J168" s="124">
        <v>1120</v>
      </c>
      <c r="K168" s="124">
        <v>1116</v>
      </c>
    </row>
    <row r="169" spans="1:11" x14ac:dyDescent="0.25">
      <c r="A169" s="112">
        <v>3239</v>
      </c>
      <c r="B169" s="113"/>
      <c r="C169" s="114"/>
      <c r="D169" s="111" t="s">
        <v>98</v>
      </c>
      <c r="E169" s="124">
        <v>3935.25</v>
      </c>
      <c r="F169" s="124">
        <f t="shared" si="55"/>
        <v>522.29743181365711</v>
      </c>
      <c r="G169" s="124">
        <v>7000</v>
      </c>
      <c r="H169" s="124">
        <f>G169/7.5345</f>
        <v>929.05965890238235</v>
      </c>
      <c r="I169" s="124">
        <v>1000</v>
      </c>
      <c r="J169" s="124">
        <f t="shared" si="56"/>
        <v>1027</v>
      </c>
      <c r="K169" s="124">
        <f t="shared" si="57"/>
        <v>1024</v>
      </c>
    </row>
    <row r="170" spans="1:11" ht="25.5" x14ac:dyDescent="0.25">
      <c r="A170" s="52">
        <v>324</v>
      </c>
      <c r="B170" s="53"/>
      <c r="C170" s="54"/>
      <c r="D170" s="55" t="s">
        <v>99</v>
      </c>
      <c r="E170" s="123"/>
      <c r="F170" s="123"/>
      <c r="G170" s="123"/>
      <c r="H170" s="123"/>
      <c r="I170" s="123"/>
      <c r="J170" s="123"/>
      <c r="K170" s="123"/>
    </row>
    <row r="171" spans="1:11" ht="25.5" x14ac:dyDescent="0.25">
      <c r="A171" s="112">
        <v>3241</v>
      </c>
      <c r="B171" s="113"/>
      <c r="C171" s="114"/>
      <c r="D171" s="111" t="s">
        <v>127</v>
      </c>
      <c r="E171" s="124">
        <v>3747.59</v>
      </c>
      <c r="F171" s="124">
        <f t="shared" si="55"/>
        <v>497.39066958656844</v>
      </c>
      <c r="G171" s="124"/>
      <c r="H171" s="124"/>
      <c r="I171" s="124"/>
      <c r="J171" s="124"/>
      <c r="K171" s="124"/>
    </row>
    <row r="172" spans="1:11" ht="25.5" x14ac:dyDescent="0.25">
      <c r="A172" s="52">
        <v>329</v>
      </c>
      <c r="B172" s="53"/>
      <c r="C172" s="54"/>
      <c r="D172" s="55" t="s">
        <v>100</v>
      </c>
      <c r="E172" s="123">
        <f t="shared" ref="E172:K172" si="58">SUM(E173:E179)</f>
        <v>12776.14</v>
      </c>
      <c r="F172" s="123">
        <f t="shared" si="58"/>
        <v>1695.6851814984402</v>
      </c>
      <c r="G172" s="123">
        <f t="shared" si="58"/>
        <v>3200</v>
      </c>
      <c r="H172" s="123">
        <f t="shared" si="58"/>
        <v>424.71298692680341</v>
      </c>
      <c r="I172" s="123">
        <f t="shared" si="58"/>
        <v>670</v>
      </c>
      <c r="J172" s="123">
        <f t="shared" si="58"/>
        <v>675</v>
      </c>
      <c r="K172" s="123">
        <f t="shared" si="58"/>
        <v>675</v>
      </c>
    </row>
    <row r="173" spans="1:11" ht="38.25" x14ac:dyDescent="0.25">
      <c r="A173" s="112">
        <v>3291</v>
      </c>
      <c r="B173" s="113"/>
      <c r="C173" s="114"/>
      <c r="D173" s="111" t="s">
        <v>101</v>
      </c>
      <c r="E173" s="124"/>
      <c r="F173" s="124"/>
      <c r="G173" s="124"/>
      <c r="H173" s="124"/>
      <c r="I173" s="124"/>
      <c r="J173" s="124"/>
      <c r="K173" s="124"/>
    </row>
    <row r="174" spans="1:11" x14ac:dyDescent="0.25">
      <c r="A174" s="112">
        <v>3292</v>
      </c>
      <c r="B174" s="113"/>
      <c r="C174" s="114"/>
      <c r="D174" s="111" t="s">
        <v>102</v>
      </c>
      <c r="E174" s="124"/>
      <c r="F174" s="124"/>
      <c r="G174" s="124"/>
      <c r="H174" s="124"/>
      <c r="I174" s="124"/>
      <c r="J174" s="124"/>
      <c r="K174" s="124"/>
    </row>
    <row r="175" spans="1:11" x14ac:dyDescent="0.25">
      <c r="A175" s="112">
        <v>3293</v>
      </c>
      <c r="B175" s="113"/>
      <c r="C175" s="114"/>
      <c r="D175" s="111" t="s">
        <v>103</v>
      </c>
      <c r="E175" s="124"/>
      <c r="F175" s="124"/>
      <c r="G175" s="124"/>
      <c r="H175" s="124"/>
      <c r="I175" s="124"/>
      <c r="J175" s="124"/>
      <c r="K175" s="124"/>
    </row>
    <row r="176" spans="1:11" x14ac:dyDescent="0.25">
      <c r="A176" s="112">
        <v>3294</v>
      </c>
      <c r="B176" s="113"/>
      <c r="C176" s="114"/>
      <c r="D176" s="111" t="s">
        <v>104</v>
      </c>
      <c r="E176" s="124">
        <v>1100</v>
      </c>
      <c r="F176" s="124">
        <f t="shared" ref="F176:F177" si="59">E176/7.5345</f>
        <v>145.99508925608865</v>
      </c>
      <c r="G176" s="124">
        <v>1200</v>
      </c>
      <c r="H176" s="124">
        <f>G176/7.5345</f>
        <v>159.26737009755126</v>
      </c>
      <c r="I176" s="124">
        <v>170</v>
      </c>
      <c r="J176" s="124">
        <v>175</v>
      </c>
      <c r="K176" s="124">
        <v>175</v>
      </c>
    </row>
    <row r="177" spans="1:11" x14ac:dyDescent="0.25">
      <c r="A177" s="112">
        <v>3295</v>
      </c>
      <c r="B177" s="113"/>
      <c r="C177" s="114"/>
      <c r="D177" s="111" t="s">
        <v>105</v>
      </c>
      <c r="E177" s="124">
        <v>955</v>
      </c>
      <c r="F177" s="124">
        <f t="shared" si="59"/>
        <v>126.75028203596787</v>
      </c>
      <c r="G177" s="124"/>
      <c r="H177" s="124"/>
      <c r="I177" s="124"/>
      <c r="J177" s="124"/>
      <c r="K177" s="124"/>
    </row>
    <row r="178" spans="1:11" x14ac:dyDescent="0.25">
      <c r="A178" s="112">
        <v>3296</v>
      </c>
      <c r="B178" s="113"/>
      <c r="C178" s="114"/>
      <c r="D178" s="111" t="s">
        <v>106</v>
      </c>
      <c r="E178" s="124"/>
      <c r="F178" s="124"/>
      <c r="G178" s="124"/>
      <c r="H178" s="124"/>
      <c r="I178" s="124"/>
      <c r="J178" s="124"/>
      <c r="K178" s="124"/>
    </row>
    <row r="179" spans="1:11" ht="25.5" x14ac:dyDescent="0.25">
      <c r="A179" s="112">
        <v>3299</v>
      </c>
      <c r="B179" s="113"/>
      <c r="C179" s="114"/>
      <c r="D179" s="111" t="s">
        <v>65</v>
      </c>
      <c r="E179" s="124">
        <v>10721.14</v>
      </c>
      <c r="F179" s="124">
        <f>E179/7.5345</f>
        <v>1422.9398102063838</v>
      </c>
      <c r="G179" s="124">
        <v>2000</v>
      </c>
      <c r="H179" s="124">
        <f>G179/7.5345</f>
        <v>265.44561682925212</v>
      </c>
      <c r="I179" s="124">
        <v>500</v>
      </c>
      <c r="J179" s="124">
        <v>500</v>
      </c>
      <c r="K179" s="124">
        <v>500</v>
      </c>
    </row>
    <row r="180" spans="1:11" x14ac:dyDescent="0.25">
      <c r="A180" s="118">
        <v>34</v>
      </c>
      <c r="B180" s="119"/>
      <c r="C180" s="120"/>
      <c r="D180" s="57" t="s">
        <v>66</v>
      </c>
      <c r="E180" s="122">
        <f t="shared" ref="E180:K180" si="60">SUM(E181)</f>
        <v>3748</v>
      </c>
      <c r="F180" s="122">
        <f t="shared" si="60"/>
        <v>497.44508593801839</v>
      </c>
      <c r="G180" s="122">
        <f t="shared" si="60"/>
        <v>1500</v>
      </c>
      <c r="H180" s="122">
        <f t="shared" si="60"/>
        <v>199.08421262193906</v>
      </c>
      <c r="I180" s="122">
        <f t="shared" si="60"/>
        <v>510</v>
      </c>
      <c r="J180" s="122">
        <f t="shared" si="60"/>
        <v>520</v>
      </c>
      <c r="K180" s="122">
        <f t="shared" si="60"/>
        <v>520</v>
      </c>
    </row>
    <row r="181" spans="1:11" x14ac:dyDescent="0.25">
      <c r="A181" s="52">
        <v>343</v>
      </c>
      <c r="B181" s="53"/>
      <c r="C181" s="54"/>
      <c r="D181" s="55" t="s">
        <v>67</v>
      </c>
      <c r="E181" s="123">
        <f t="shared" ref="E181:K181" si="61">SUM(E182:E183)</f>
        <v>3748</v>
      </c>
      <c r="F181" s="123">
        <f t="shared" si="61"/>
        <v>497.44508593801839</v>
      </c>
      <c r="G181" s="123">
        <f t="shared" si="61"/>
        <v>1500</v>
      </c>
      <c r="H181" s="123">
        <f t="shared" si="61"/>
        <v>199.08421262193906</v>
      </c>
      <c r="I181" s="123">
        <f t="shared" si="61"/>
        <v>510</v>
      </c>
      <c r="J181" s="123">
        <f t="shared" si="61"/>
        <v>520</v>
      </c>
      <c r="K181" s="123">
        <f t="shared" si="61"/>
        <v>520</v>
      </c>
    </row>
    <row r="182" spans="1:11" ht="25.5" x14ac:dyDescent="0.25">
      <c r="A182" s="112">
        <v>3431</v>
      </c>
      <c r="B182" s="113"/>
      <c r="C182" s="114"/>
      <c r="D182" s="111" t="s">
        <v>107</v>
      </c>
      <c r="E182" s="124">
        <v>3748</v>
      </c>
      <c r="F182" s="124">
        <f>E182/7.5345</f>
        <v>497.44508593801839</v>
      </c>
      <c r="G182" s="124">
        <v>1500</v>
      </c>
      <c r="H182" s="124">
        <f>G182/7.5345</f>
        <v>199.08421262193906</v>
      </c>
      <c r="I182" s="124">
        <v>510</v>
      </c>
      <c r="J182" s="124">
        <v>520</v>
      </c>
      <c r="K182" s="124">
        <v>520</v>
      </c>
    </row>
    <row r="183" spans="1:11" x14ac:dyDescent="0.25">
      <c r="A183" s="112">
        <v>3433</v>
      </c>
      <c r="B183" s="113"/>
      <c r="C183" s="114"/>
      <c r="D183" s="111" t="s">
        <v>108</v>
      </c>
      <c r="E183" s="124"/>
      <c r="F183" s="124"/>
      <c r="G183" s="124"/>
      <c r="H183" s="124"/>
      <c r="I183" s="124"/>
      <c r="J183" s="124"/>
      <c r="K183" s="124"/>
    </row>
    <row r="184" spans="1:11" ht="38.25" x14ac:dyDescent="0.25">
      <c r="A184" s="118">
        <v>37</v>
      </c>
      <c r="B184" s="119"/>
      <c r="C184" s="120"/>
      <c r="D184" s="57" t="s">
        <v>68</v>
      </c>
      <c r="E184" s="122">
        <f t="shared" ref="E184:K184" si="62">SUM(E185)</f>
        <v>0</v>
      </c>
      <c r="F184" s="122">
        <f t="shared" si="62"/>
        <v>0</v>
      </c>
      <c r="G184" s="122">
        <f t="shared" si="62"/>
        <v>0</v>
      </c>
      <c r="H184" s="122">
        <f t="shared" si="62"/>
        <v>0</v>
      </c>
      <c r="I184" s="122">
        <f t="shared" si="62"/>
        <v>0</v>
      </c>
      <c r="J184" s="122">
        <f t="shared" si="62"/>
        <v>0</v>
      </c>
      <c r="K184" s="122">
        <f t="shared" si="62"/>
        <v>0</v>
      </c>
    </row>
    <row r="185" spans="1:11" ht="25.5" x14ac:dyDescent="0.25">
      <c r="A185" s="52">
        <v>372</v>
      </c>
      <c r="B185" s="53"/>
      <c r="C185" s="54"/>
      <c r="D185" s="55" t="s">
        <v>69</v>
      </c>
      <c r="E185" s="123"/>
      <c r="F185" s="123"/>
      <c r="G185" s="123"/>
      <c r="H185" s="123"/>
      <c r="I185" s="123"/>
      <c r="J185" s="123"/>
      <c r="K185" s="123"/>
    </row>
    <row r="186" spans="1:11" ht="25.5" x14ac:dyDescent="0.25">
      <c r="A186" s="112">
        <v>3721</v>
      </c>
      <c r="B186" s="113"/>
      <c r="C186" s="114"/>
      <c r="D186" s="111" t="s">
        <v>109</v>
      </c>
      <c r="E186" s="124"/>
      <c r="F186" s="124"/>
      <c r="G186" s="124"/>
      <c r="H186" s="124"/>
      <c r="I186" s="124"/>
      <c r="J186" s="124"/>
      <c r="K186" s="124"/>
    </row>
    <row r="187" spans="1:11" ht="25.5" x14ac:dyDescent="0.25">
      <c r="A187" s="112">
        <v>3722</v>
      </c>
      <c r="B187" s="113"/>
      <c r="C187" s="114"/>
      <c r="D187" s="111" t="s">
        <v>110</v>
      </c>
      <c r="E187" s="124"/>
      <c r="F187" s="124"/>
      <c r="G187" s="124"/>
      <c r="H187" s="124"/>
      <c r="I187" s="124"/>
      <c r="J187" s="124"/>
      <c r="K187" s="124"/>
    </row>
    <row r="188" spans="1:11" ht="38.25" x14ac:dyDescent="0.25">
      <c r="A188" s="59">
        <v>4</v>
      </c>
      <c r="B188" s="60"/>
      <c r="C188" s="61"/>
      <c r="D188" s="117" t="s">
        <v>56</v>
      </c>
      <c r="E188" s="121">
        <f t="shared" ref="E188:K188" si="63">SUM(E189)</f>
        <v>0</v>
      </c>
      <c r="F188" s="121">
        <f t="shared" si="63"/>
        <v>0</v>
      </c>
      <c r="G188" s="121">
        <f t="shared" si="63"/>
        <v>30000</v>
      </c>
      <c r="H188" s="121">
        <f t="shared" si="63"/>
        <v>3318.0702103656513</v>
      </c>
      <c r="I188" s="121">
        <f t="shared" si="63"/>
        <v>0</v>
      </c>
      <c r="J188" s="121">
        <f t="shared" si="63"/>
        <v>0</v>
      </c>
      <c r="K188" s="121">
        <f t="shared" si="63"/>
        <v>0</v>
      </c>
    </row>
    <row r="189" spans="1:11" ht="38.25" x14ac:dyDescent="0.25">
      <c r="A189" s="118">
        <v>42</v>
      </c>
      <c r="B189" s="119"/>
      <c r="C189" s="120"/>
      <c r="D189" s="57" t="s">
        <v>56</v>
      </c>
      <c r="E189" s="122">
        <f>SUM(E190+E197)</f>
        <v>0</v>
      </c>
      <c r="F189" s="122">
        <f t="shared" ref="F189" si="64">SUM(F190+F197)</f>
        <v>0</v>
      </c>
      <c r="G189" s="122">
        <f t="shared" ref="G189" si="65">SUM(G190+G197)</f>
        <v>30000</v>
      </c>
      <c r="H189" s="122">
        <f t="shared" ref="H189" si="66">SUM(H190+H197)</f>
        <v>3318.0702103656513</v>
      </c>
      <c r="I189" s="122">
        <f t="shared" ref="I189" si="67">SUM(I190+I197)</f>
        <v>0</v>
      </c>
      <c r="J189" s="122">
        <f t="shared" ref="J189" si="68">SUM(J190+J197)</f>
        <v>0</v>
      </c>
      <c r="K189" s="122">
        <f t="shared" ref="K189" si="69">SUM(K190+K197)</f>
        <v>0</v>
      </c>
    </row>
    <row r="190" spans="1:11" x14ac:dyDescent="0.25">
      <c r="A190" s="52">
        <v>422</v>
      </c>
      <c r="B190" s="53"/>
      <c r="C190" s="54"/>
      <c r="D190" s="55" t="s">
        <v>70</v>
      </c>
      <c r="E190" s="123">
        <f>SUM(E191:E196)</f>
        <v>0</v>
      </c>
      <c r="F190" s="123">
        <f t="shared" ref="F190:K190" si="70">SUM(F191:F196)</f>
        <v>0</v>
      </c>
      <c r="G190" s="123">
        <f t="shared" si="70"/>
        <v>30000</v>
      </c>
      <c r="H190" s="123">
        <f t="shared" si="70"/>
        <v>3318.0702103656513</v>
      </c>
      <c r="I190" s="123">
        <f t="shared" si="70"/>
        <v>0</v>
      </c>
      <c r="J190" s="123">
        <f t="shared" si="70"/>
        <v>0</v>
      </c>
      <c r="K190" s="123">
        <f t="shared" si="70"/>
        <v>0</v>
      </c>
    </row>
    <row r="191" spans="1:11" x14ac:dyDescent="0.25">
      <c r="A191" s="112">
        <v>4221</v>
      </c>
      <c r="B191" s="113"/>
      <c r="C191" s="114"/>
      <c r="D191" s="111" t="s">
        <v>111</v>
      </c>
      <c r="E191" s="124"/>
      <c r="F191" s="124"/>
      <c r="G191" s="124">
        <v>5000</v>
      </c>
      <c r="H191" s="124"/>
      <c r="I191" s="124"/>
      <c r="J191" s="124"/>
      <c r="K191" s="124"/>
    </row>
    <row r="192" spans="1:11" x14ac:dyDescent="0.25">
      <c r="A192" s="112">
        <v>4222</v>
      </c>
      <c r="B192" s="113"/>
      <c r="C192" s="114"/>
      <c r="D192" s="111" t="s">
        <v>112</v>
      </c>
      <c r="E192" s="124"/>
      <c r="F192" s="124"/>
      <c r="G192" s="124"/>
      <c r="H192" s="124"/>
      <c r="I192" s="124"/>
      <c r="J192" s="124"/>
      <c r="K192" s="124"/>
    </row>
    <row r="193" spans="1:11" x14ac:dyDescent="0.25">
      <c r="A193" s="112">
        <v>4223</v>
      </c>
      <c r="B193" s="113"/>
      <c r="C193" s="114"/>
      <c r="D193" s="111" t="s">
        <v>113</v>
      </c>
      <c r="E193" s="124"/>
      <c r="F193" s="124"/>
      <c r="G193" s="124"/>
      <c r="H193" s="124"/>
      <c r="I193" s="124"/>
      <c r="J193" s="124"/>
      <c r="K193" s="124"/>
    </row>
    <row r="194" spans="1:11" x14ac:dyDescent="0.25">
      <c r="A194" s="112">
        <v>4225</v>
      </c>
      <c r="B194" s="113"/>
      <c r="C194" s="114"/>
      <c r="D194" s="111" t="s">
        <v>114</v>
      </c>
      <c r="E194" s="124"/>
      <c r="F194" s="124"/>
      <c r="G194" s="124"/>
      <c r="H194" s="124"/>
      <c r="I194" s="124"/>
      <c r="J194" s="124"/>
      <c r="K194" s="124"/>
    </row>
    <row r="195" spans="1:11" x14ac:dyDescent="0.25">
      <c r="A195" s="112">
        <v>4226</v>
      </c>
      <c r="B195" s="113"/>
      <c r="C195" s="114"/>
      <c r="D195" s="111" t="s">
        <v>115</v>
      </c>
      <c r="E195" s="124"/>
      <c r="F195" s="124"/>
      <c r="G195" s="124"/>
      <c r="H195" s="124"/>
      <c r="I195" s="124"/>
      <c r="J195" s="124"/>
      <c r="K195" s="124"/>
    </row>
    <row r="196" spans="1:11" ht="25.5" x14ac:dyDescent="0.25">
      <c r="A196" s="112">
        <v>4227</v>
      </c>
      <c r="B196" s="113"/>
      <c r="C196" s="114"/>
      <c r="D196" s="111" t="s">
        <v>116</v>
      </c>
      <c r="E196" s="124"/>
      <c r="F196" s="124"/>
      <c r="G196" s="124">
        <v>25000</v>
      </c>
      <c r="H196" s="124">
        <f>G196/7.5345</f>
        <v>3318.0702103656513</v>
      </c>
      <c r="I196" s="124"/>
      <c r="J196" s="124"/>
      <c r="K196" s="124"/>
    </row>
    <row r="197" spans="1:11" ht="25.5" x14ac:dyDescent="0.25">
      <c r="A197" s="52">
        <v>424</v>
      </c>
      <c r="B197" s="53"/>
      <c r="C197" s="54"/>
      <c r="D197" s="55" t="s">
        <v>71</v>
      </c>
      <c r="E197" s="123">
        <f t="shared" ref="E197:K197" si="71">SUM(E198)</f>
        <v>0</v>
      </c>
      <c r="F197" s="123">
        <f t="shared" si="71"/>
        <v>0</v>
      </c>
      <c r="G197" s="123">
        <f t="shared" si="71"/>
        <v>0</v>
      </c>
      <c r="H197" s="123">
        <f t="shared" si="71"/>
        <v>0</v>
      </c>
      <c r="I197" s="123">
        <f t="shared" si="71"/>
        <v>0</v>
      </c>
      <c r="J197" s="123">
        <f t="shared" si="71"/>
        <v>0</v>
      </c>
      <c r="K197" s="123">
        <f t="shared" si="71"/>
        <v>0</v>
      </c>
    </row>
    <row r="198" spans="1:11" x14ac:dyDescent="0.25">
      <c r="A198" s="112">
        <v>4241</v>
      </c>
      <c r="B198" s="113"/>
      <c r="C198" s="114"/>
      <c r="D198" s="111" t="s">
        <v>117</v>
      </c>
      <c r="E198" s="124">
        <v>0</v>
      </c>
      <c r="F198" s="124">
        <f>E198/7.5345</f>
        <v>0</v>
      </c>
      <c r="G198" s="124">
        <v>0</v>
      </c>
      <c r="H198" s="124">
        <f>G198/7.5345</f>
        <v>0</v>
      </c>
      <c r="I198" s="124"/>
      <c r="J198" s="124"/>
      <c r="K198" s="124"/>
    </row>
    <row r="199" spans="1:11" x14ac:dyDescent="0.25">
      <c r="A199" s="112"/>
      <c r="B199" s="113"/>
      <c r="C199" s="114"/>
      <c r="D199" s="111"/>
      <c r="E199" s="124"/>
      <c r="F199" s="124"/>
      <c r="G199" s="124"/>
      <c r="H199" s="124"/>
      <c r="I199" s="124"/>
      <c r="J199" s="124"/>
      <c r="K199" s="124"/>
    </row>
    <row r="200" spans="1:11" x14ac:dyDescent="0.25">
      <c r="A200" s="112"/>
      <c r="B200" s="113"/>
      <c r="C200" s="114"/>
      <c r="D200" s="63" t="s">
        <v>118</v>
      </c>
      <c r="E200" s="125">
        <f>SUM(E135+E188)</f>
        <v>268529.78999999998</v>
      </c>
      <c r="F200" s="125">
        <f t="shared" ref="F200" si="72">SUM(F135+F188)</f>
        <v>35640.027871789767</v>
      </c>
      <c r="G200" s="125">
        <f>SUM(G135+G188)</f>
        <v>301000</v>
      </c>
      <c r="H200" s="125">
        <f t="shared" ref="H200:K200" si="73">SUM(H135+H188)</f>
        <v>39285.951290729303</v>
      </c>
      <c r="I200" s="125">
        <f t="shared" si="73"/>
        <v>34363</v>
      </c>
      <c r="J200" s="125">
        <f t="shared" si="73"/>
        <v>35408</v>
      </c>
      <c r="K200" s="125">
        <f t="shared" si="73"/>
        <v>35522</v>
      </c>
    </row>
    <row r="201" spans="1:11" x14ac:dyDescent="0.25">
      <c r="A201" s="112"/>
      <c r="B201" s="113"/>
      <c r="C201" s="114"/>
      <c r="D201" s="111"/>
      <c r="E201" s="124"/>
      <c r="F201" s="124"/>
      <c r="G201" s="124"/>
      <c r="H201" s="124"/>
      <c r="I201" s="124"/>
      <c r="J201" s="124"/>
      <c r="K201" s="124"/>
    </row>
    <row r="202" spans="1:11" ht="25.5" x14ac:dyDescent="0.25">
      <c r="A202" s="201" t="s">
        <v>33</v>
      </c>
      <c r="B202" s="202"/>
      <c r="C202" s="203"/>
      <c r="D202" s="24" t="s">
        <v>34</v>
      </c>
      <c r="E202" s="24" t="s">
        <v>153</v>
      </c>
      <c r="F202" s="24" t="s">
        <v>151</v>
      </c>
      <c r="G202" s="24" t="s">
        <v>155</v>
      </c>
      <c r="H202" s="24" t="s">
        <v>152</v>
      </c>
      <c r="I202" s="24" t="s">
        <v>119</v>
      </c>
      <c r="J202" s="24" t="s">
        <v>120</v>
      </c>
      <c r="K202" s="24" t="s">
        <v>51</v>
      </c>
    </row>
    <row r="203" spans="1:11" ht="15" customHeight="1" x14ac:dyDescent="0.25">
      <c r="A203" s="210" t="s">
        <v>121</v>
      </c>
      <c r="B203" s="211"/>
      <c r="C203" s="212"/>
      <c r="D203" s="115" t="s">
        <v>40</v>
      </c>
      <c r="E203" s="10"/>
      <c r="F203" s="10"/>
      <c r="G203" s="10"/>
      <c r="H203" s="10"/>
      <c r="I203" s="10"/>
      <c r="J203" s="10"/>
      <c r="K203" s="10"/>
    </row>
    <row r="204" spans="1:11" ht="25.5" customHeight="1" x14ac:dyDescent="0.25">
      <c r="A204" s="210" t="s">
        <v>164</v>
      </c>
      <c r="B204" s="211"/>
      <c r="C204" s="212"/>
      <c r="D204" s="115" t="s">
        <v>165</v>
      </c>
      <c r="E204" s="10"/>
      <c r="F204" s="10"/>
      <c r="G204" s="10"/>
      <c r="H204" s="10"/>
      <c r="I204" s="10"/>
      <c r="J204" s="10"/>
      <c r="K204" s="10"/>
    </row>
    <row r="205" spans="1:11" ht="15" customHeight="1" x14ac:dyDescent="0.25">
      <c r="A205" s="204">
        <v>51</v>
      </c>
      <c r="B205" s="205"/>
      <c r="C205" s="206"/>
      <c r="D205" s="116" t="s">
        <v>126</v>
      </c>
      <c r="E205" s="10"/>
      <c r="F205" s="10"/>
      <c r="G205" s="10"/>
      <c r="H205" s="10"/>
      <c r="I205" s="10"/>
      <c r="J205" s="10"/>
      <c r="K205" s="10"/>
    </row>
    <row r="206" spans="1:11" x14ac:dyDescent="0.25">
      <c r="A206" s="207">
        <v>3</v>
      </c>
      <c r="B206" s="208"/>
      <c r="C206" s="209"/>
      <c r="D206" s="117" t="s">
        <v>23</v>
      </c>
      <c r="E206" s="121">
        <f>SUM(E207+E217)</f>
        <v>12795</v>
      </c>
      <c r="F206" s="121">
        <f t="shared" ref="F206:K206" si="74">SUM(F207+F217)</f>
        <v>1698.1883336651404</v>
      </c>
      <c r="G206" s="121">
        <f t="shared" si="74"/>
        <v>13000</v>
      </c>
      <c r="H206" s="121">
        <f t="shared" si="74"/>
        <v>1725.3965093901386</v>
      </c>
      <c r="I206" s="121">
        <f t="shared" si="74"/>
        <v>1000</v>
      </c>
      <c r="J206" s="121">
        <f t="shared" si="74"/>
        <v>1000</v>
      </c>
      <c r="K206" s="121">
        <f t="shared" si="74"/>
        <v>1000</v>
      </c>
    </row>
    <row r="207" spans="1:11" x14ac:dyDescent="0.25">
      <c r="A207" s="213">
        <v>31</v>
      </c>
      <c r="B207" s="214"/>
      <c r="C207" s="215"/>
      <c r="D207" s="57" t="s">
        <v>24</v>
      </c>
      <c r="E207" s="122">
        <f t="shared" ref="E207:K207" si="75">SUM(E208+E212+E214)</f>
        <v>0</v>
      </c>
      <c r="F207" s="122">
        <f t="shared" si="75"/>
        <v>0</v>
      </c>
      <c r="G207" s="122">
        <f t="shared" si="75"/>
        <v>0</v>
      </c>
      <c r="H207" s="122">
        <f t="shared" si="75"/>
        <v>0</v>
      </c>
      <c r="I207" s="122">
        <f t="shared" si="75"/>
        <v>0</v>
      </c>
      <c r="J207" s="122">
        <f t="shared" si="75"/>
        <v>0</v>
      </c>
      <c r="K207" s="122">
        <f t="shared" si="75"/>
        <v>0</v>
      </c>
    </row>
    <row r="208" spans="1:11" ht="15" customHeight="1" x14ac:dyDescent="0.25">
      <c r="A208" s="52">
        <v>311</v>
      </c>
      <c r="B208" s="53"/>
      <c r="C208" s="54"/>
      <c r="D208" s="55" t="s">
        <v>60</v>
      </c>
      <c r="E208" s="123">
        <f t="shared" ref="E208:K208" si="76">SUM(E209:E211)</f>
        <v>0</v>
      </c>
      <c r="F208" s="123">
        <f t="shared" si="76"/>
        <v>0</v>
      </c>
      <c r="G208" s="123">
        <f t="shared" si="76"/>
        <v>0</v>
      </c>
      <c r="H208" s="123">
        <f t="shared" si="76"/>
        <v>0</v>
      </c>
      <c r="I208" s="123">
        <f t="shared" si="76"/>
        <v>0</v>
      </c>
      <c r="J208" s="123">
        <f t="shared" si="76"/>
        <v>0</v>
      </c>
      <c r="K208" s="123">
        <f t="shared" si="76"/>
        <v>0</v>
      </c>
    </row>
    <row r="209" spans="1:11" x14ac:dyDescent="0.25">
      <c r="A209" s="112">
        <v>3111</v>
      </c>
      <c r="B209" s="113"/>
      <c r="C209" s="114"/>
      <c r="D209" s="111" t="s">
        <v>72</v>
      </c>
      <c r="E209" s="124"/>
      <c r="F209" s="124"/>
      <c r="G209" s="124"/>
      <c r="H209" s="124"/>
      <c r="I209" s="124"/>
      <c r="J209" s="124"/>
      <c r="K209" s="124"/>
    </row>
    <row r="210" spans="1:11" x14ac:dyDescent="0.25">
      <c r="A210" s="112">
        <v>3113</v>
      </c>
      <c r="B210" s="113"/>
      <c r="C210" s="114"/>
      <c r="D210" s="111" t="s">
        <v>73</v>
      </c>
      <c r="E210" s="124"/>
      <c r="F210" s="124"/>
      <c r="G210" s="124"/>
      <c r="H210" s="124"/>
      <c r="I210" s="124"/>
      <c r="J210" s="124"/>
      <c r="K210" s="124"/>
    </row>
    <row r="211" spans="1:11" x14ac:dyDescent="0.25">
      <c r="A211" s="112">
        <v>3114</v>
      </c>
      <c r="B211" s="113"/>
      <c r="C211" s="114"/>
      <c r="D211" s="111" t="s">
        <v>74</v>
      </c>
      <c r="E211" s="124"/>
      <c r="F211" s="124"/>
      <c r="G211" s="124"/>
      <c r="H211" s="124"/>
      <c r="I211" s="124"/>
      <c r="J211" s="124"/>
      <c r="K211" s="124"/>
    </row>
    <row r="212" spans="1:11" x14ac:dyDescent="0.25">
      <c r="A212" s="52">
        <v>312</v>
      </c>
      <c r="B212" s="53"/>
      <c r="C212" s="54"/>
      <c r="D212" s="55" t="s">
        <v>75</v>
      </c>
      <c r="E212" s="123">
        <f t="shared" ref="E212:K212" si="77">SUM(E213)</f>
        <v>0</v>
      </c>
      <c r="F212" s="123">
        <f t="shared" si="77"/>
        <v>0</v>
      </c>
      <c r="G212" s="123">
        <f t="shared" si="77"/>
        <v>0</v>
      </c>
      <c r="H212" s="123">
        <f t="shared" si="77"/>
        <v>0</v>
      </c>
      <c r="I212" s="123">
        <f t="shared" si="77"/>
        <v>0</v>
      </c>
      <c r="J212" s="123">
        <f t="shared" si="77"/>
        <v>0</v>
      </c>
      <c r="K212" s="123">
        <f t="shared" si="77"/>
        <v>0</v>
      </c>
    </row>
    <row r="213" spans="1:11" x14ac:dyDescent="0.25">
      <c r="A213" s="112">
        <v>3121</v>
      </c>
      <c r="B213" s="113"/>
      <c r="C213" s="114"/>
      <c r="D213" s="111" t="s">
        <v>76</v>
      </c>
      <c r="E213" s="124"/>
      <c r="F213" s="124"/>
      <c r="G213" s="124"/>
      <c r="H213" s="124"/>
      <c r="I213" s="124"/>
      <c r="J213" s="124"/>
      <c r="K213" s="124"/>
    </row>
    <row r="214" spans="1:11" x14ac:dyDescent="0.25">
      <c r="A214" s="52">
        <v>313</v>
      </c>
      <c r="B214" s="53"/>
      <c r="C214" s="54"/>
      <c r="D214" s="55" t="s">
        <v>61</v>
      </c>
      <c r="E214" s="123">
        <v>0</v>
      </c>
      <c r="F214" s="123">
        <f>SUM(F215:F216)</f>
        <v>0</v>
      </c>
      <c r="G214" s="123">
        <f t="shared" ref="G214" si="78">SUM(G215:G216)</f>
        <v>0</v>
      </c>
      <c r="H214" s="123">
        <f t="shared" ref="H214" si="79">SUM(H215:H216)</f>
        <v>0</v>
      </c>
      <c r="I214" s="123">
        <f t="shared" ref="I214" si="80">SUM(I215:I216)</f>
        <v>0</v>
      </c>
      <c r="J214" s="123">
        <f t="shared" ref="J214" si="81">SUM(J215:J216)</f>
        <v>0</v>
      </c>
      <c r="K214" s="123">
        <f t="shared" ref="K214" si="82">SUM(K215:K216)</f>
        <v>0</v>
      </c>
    </row>
    <row r="215" spans="1:11" x14ac:dyDescent="0.25">
      <c r="A215" s="112">
        <v>3131</v>
      </c>
      <c r="B215" s="113"/>
      <c r="C215" s="114"/>
      <c r="D215" s="111" t="s">
        <v>77</v>
      </c>
      <c r="E215" s="124"/>
      <c r="F215" s="124"/>
      <c r="G215" s="124"/>
      <c r="H215" s="124"/>
      <c r="I215" s="124"/>
      <c r="J215" s="124"/>
      <c r="K215" s="124"/>
    </row>
    <row r="216" spans="1:11" ht="25.5" x14ac:dyDescent="0.25">
      <c r="A216" s="112">
        <v>3132</v>
      </c>
      <c r="B216" s="113"/>
      <c r="C216" s="114"/>
      <c r="D216" s="111" t="s">
        <v>78</v>
      </c>
      <c r="E216" s="124"/>
      <c r="F216" s="124"/>
      <c r="G216" s="124"/>
      <c r="H216" s="124"/>
      <c r="I216" s="124"/>
      <c r="J216" s="124"/>
      <c r="K216" s="124"/>
    </row>
    <row r="217" spans="1:11" x14ac:dyDescent="0.25">
      <c r="A217" s="213">
        <v>32</v>
      </c>
      <c r="B217" s="214"/>
      <c r="C217" s="215"/>
      <c r="D217" s="57" t="s">
        <v>35</v>
      </c>
      <c r="E217" s="122">
        <f>SUM(E218+E223+E231)</f>
        <v>12795</v>
      </c>
      <c r="F217" s="122">
        <f t="shared" ref="F217:K217" si="83">SUM(F218+F223+F231)</f>
        <v>1698.1883336651404</v>
      </c>
      <c r="G217" s="122">
        <f t="shared" si="83"/>
        <v>13000</v>
      </c>
      <c r="H217" s="122">
        <f t="shared" si="83"/>
        <v>1725.3965093901386</v>
      </c>
      <c r="I217" s="122">
        <f t="shared" si="83"/>
        <v>1000</v>
      </c>
      <c r="J217" s="122">
        <f t="shared" si="83"/>
        <v>1000</v>
      </c>
      <c r="K217" s="122">
        <f t="shared" si="83"/>
        <v>1000</v>
      </c>
    </row>
    <row r="218" spans="1:11" x14ac:dyDescent="0.25">
      <c r="A218" s="52">
        <v>321</v>
      </c>
      <c r="B218" s="53"/>
      <c r="C218" s="54"/>
      <c r="D218" s="55" t="s">
        <v>62</v>
      </c>
      <c r="E218" s="123">
        <f t="shared" ref="E218:K218" si="84">SUM(E219:E222)</f>
        <v>0</v>
      </c>
      <c r="F218" s="123">
        <f t="shared" si="84"/>
        <v>0</v>
      </c>
      <c r="G218" s="123">
        <f t="shared" si="84"/>
        <v>0</v>
      </c>
      <c r="H218" s="123">
        <f t="shared" si="84"/>
        <v>0</v>
      </c>
      <c r="I218" s="123">
        <f t="shared" si="84"/>
        <v>0</v>
      </c>
      <c r="J218" s="123">
        <f t="shared" si="84"/>
        <v>0</v>
      </c>
      <c r="K218" s="123">
        <f t="shared" si="84"/>
        <v>0</v>
      </c>
    </row>
    <row r="219" spans="1:11" x14ac:dyDescent="0.25">
      <c r="A219" s="112">
        <v>3211</v>
      </c>
      <c r="B219" s="113"/>
      <c r="C219" s="114"/>
      <c r="D219" s="111" t="s">
        <v>79</v>
      </c>
      <c r="E219" s="124"/>
      <c r="F219" s="124"/>
      <c r="G219" s="124"/>
      <c r="H219" s="124"/>
      <c r="I219" s="124"/>
      <c r="J219" s="124"/>
      <c r="K219" s="124"/>
    </row>
    <row r="220" spans="1:11" ht="25.5" x14ac:dyDescent="0.25">
      <c r="A220" s="112">
        <v>3212</v>
      </c>
      <c r="B220" s="113"/>
      <c r="C220" s="114"/>
      <c r="D220" s="111" t="s">
        <v>150</v>
      </c>
      <c r="E220" s="124"/>
      <c r="F220" s="124"/>
      <c r="G220" s="124"/>
      <c r="H220" s="124"/>
      <c r="I220" s="124"/>
      <c r="J220" s="124"/>
      <c r="K220" s="124"/>
    </row>
    <row r="221" spans="1:11" x14ac:dyDescent="0.25">
      <c r="A221" s="112">
        <v>3213</v>
      </c>
      <c r="B221" s="113"/>
      <c r="C221" s="114"/>
      <c r="D221" s="111" t="s">
        <v>81</v>
      </c>
      <c r="E221" s="124"/>
      <c r="F221" s="124"/>
      <c r="G221" s="124"/>
      <c r="H221" s="124"/>
      <c r="I221" s="124"/>
      <c r="J221" s="124"/>
      <c r="K221" s="124"/>
    </row>
    <row r="222" spans="1:11" ht="25.5" x14ac:dyDescent="0.25">
      <c r="A222" s="112">
        <v>3214</v>
      </c>
      <c r="B222" s="113"/>
      <c r="C222" s="114"/>
      <c r="D222" s="111" t="s">
        <v>82</v>
      </c>
      <c r="E222" s="124"/>
      <c r="F222" s="124"/>
      <c r="G222" s="124"/>
      <c r="H222" s="124"/>
      <c r="I222" s="124"/>
      <c r="J222" s="124"/>
      <c r="K222" s="124"/>
    </row>
    <row r="223" spans="1:11" x14ac:dyDescent="0.25">
      <c r="A223" s="52">
        <v>322</v>
      </c>
      <c r="B223" s="53"/>
      <c r="C223" s="54"/>
      <c r="D223" s="55" t="s">
        <v>63</v>
      </c>
      <c r="E223" s="123">
        <f t="shared" ref="E223:K223" si="85">SUM(E224:E230)</f>
        <v>12795</v>
      </c>
      <c r="F223" s="123">
        <f t="shared" si="85"/>
        <v>1698.1883336651404</v>
      </c>
      <c r="G223" s="123">
        <f t="shared" si="85"/>
        <v>13000</v>
      </c>
      <c r="H223" s="123">
        <f t="shared" si="85"/>
        <v>1725.3965093901386</v>
      </c>
      <c r="I223" s="123">
        <f t="shared" si="85"/>
        <v>1000</v>
      </c>
      <c r="J223" s="123">
        <f t="shared" si="85"/>
        <v>1000</v>
      </c>
      <c r="K223" s="123">
        <f t="shared" si="85"/>
        <v>1000</v>
      </c>
    </row>
    <row r="224" spans="1:11" ht="25.5" x14ac:dyDescent="0.25">
      <c r="A224" s="112">
        <v>3221</v>
      </c>
      <c r="B224" s="113"/>
      <c r="C224" s="114"/>
      <c r="D224" s="111" t="s">
        <v>83</v>
      </c>
      <c r="E224" s="124"/>
      <c r="F224" s="124"/>
      <c r="G224" s="124"/>
      <c r="H224" s="124"/>
      <c r="I224" s="124"/>
      <c r="J224" s="124"/>
      <c r="K224" s="124"/>
    </row>
    <row r="225" spans="1:11" x14ac:dyDescent="0.25">
      <c r="A225" s="112">
        <v>3222</v>
      </c>
      <c r="B225" s="113"/>
      <c r="C225" s="114"/>
      <c r="D225" s="111" t="s">
        <v>84</v>
      </c>
      <c r="E225" s="124">
        <v>12795</v>
      </c>
      <c r="F225" s="124">
        <f>E225/7.5345</f>
        <v>1698.1883336651404</v>
      </c>
      <c r="G225" s="124">
        <v>13000</v>
      </c>
      <c r="H225" s="124">
        <f>G225/7.5345</f>
        <v>1725.3965093901386</v>
      </c>
      <c r="I225" s="124">
        <v>1000</v>
      </c>
      <c r="J225" s="124">
        <v>1000</v>
      </c>
      <c r="K225" s="124">
        <v>1000</v>
      </c>
    </row>
    <row r="226" spans="1:11" x14ac:dyDescent="0.25">
      <c r="A226" s="112">
        <v>3223</v>
      </c>
      <c r="B226" s="113"/>
      <c r="C226" s="114"/>
      <c r="D226" s="111" t="s">
        <v>85</v>
      </c>
      <c r="E226" s="124"/>
      <c r="F226" s="124"/>
      <c r="G226" s="124"/>
      <c r="H226" s="124"/>
      <c r="I226" s="124"/>
      <c r="J226" s="124"/>
      <c r="K226" s="124"/>
    </row>
    <row r="227" spans="1:11" ht="25.5" x14ac:dyDescent="0.25">
      <c r="A227" s="112">
        <v>3224</v>
      </c>
      <c r="B227" s="113"/>
      <c r="C227" s="114"/>
      <c r="D227" s="111" t="s">
        <v>86</v>
      </c>
      <c r="E227" s="124"/>
      <c r="F227" s="124"/>
      <c r="G227" s="124"/>
      <c r="H227" s="124"/>
      <c r="I227" s="124"/>
      <c r="J227" s="124"/>
      <c r="K227" s="124"/>
    </row>
    <row r="228" spans="1:11" x14ac:dyDescent="0.25">
      <c r="A228" s="112">
        <v>3225</v>
      </c>
      <c r="B228" s="113"/>
      <c r="C228" s="114"/>
      <c r="D228" s="111" t="s">
        <v>87</v>
      </c>
      <c r="E228" s="124"/>
      <c r="F228" s="124"/>
      <c r="G228" s="124"/>
      <c r="H228" s="124"/>
      <c r="I228" s="124"/>
      <c r="J228" s="124"/>
      <c r="K228" s="124"/>
    </row>
    <row r="229" spans="1:11" ht="25.5" x14ac:dyDescent="0.25">
      <c r="A229" s="112">
        <v>3226</v>
      </c>
      <c r="B229" s="113"/>
      <c r="C229" s="114"/>
      <c r="D229" s="111" t="s">
        <v>88</v>
      </c>
      <c r="E229" s="124"/>
      <c r="F229" s="124"/>
      <c r="G229" s="124"/>
      <c r="H229" s="124"/>
      <c r="I229" s="124"/>
      <c r="J229" s="124"/>
      <c r="K229" s="124"/>
    </row>
    <row r="230" spans="1:11" ht="25.5" x14ac:dyDescent="0.25">
      <c r="A230" s="112">
        <v>3227</v>
      </c>
      <c r="B230" s="113"/>
      <c r="C230" s="114"/>
      <c r="D230" s="111" t="s">
        <v>89</v>
      </c>
      <c r="E230" s="124"/>
      <c r="F230" s="124"/>
      <c r="G230" s="124"/>
      <c r="H230" s="124"/>
      <c r="I230" s="124"/>
      <c r="J230" s="124"/>
      <c r="K230" s="124"/>
    </row>
    <row r="231" spans="1:11" x14ac:dyDescent="0.25">
      <c r="A231" s="52">
        <v>323</v>
      </c>
      <c r="B231" s="53"/>
      <c r="C231" s="54"/>
      <c r="D231" s="55" t="s">
        <v>64</v>
      </c>
      <c r="E231" s="123">
        <f t="shared" ref="E231:K231" si="86">SUM(E232:E240)</f>
        <v>0</v>
      </c>
      <c r="F231" s="123">
        <f t="shared" si="86"/>
        <v>0</v>
      </c>
      <c r="G231" s="123">
        <f t="shared" si="86"/>
        <v>0</v>
      </c>
      <c r="H231" s="123">
        <f t="shared" si="86"/>
        <v>0</v>
      </c>
      <c r="I231" s="123">
        <f t="shared" si="86"/>
        <v>0</v>
      </c>
      <c r="J231" s="123">
        <f t="shared" si="86"/>
        <v>0</v>
      </c>
      <c r="K231" s="123">
        <f t="shared" si="86"/>
        <v>0</v>
      </c>
    </row>
    <row r="232" spans="1:11" x14ac:dyDescent="0.25">
      <c r="A232" s="112">
        <v>3231</v>
      </c>
      <c r="B232" s="113"/>
      <c r="C232" s="114"/>
      <c r="D232" s="111" t="s">
        <v>90</v>
      </c>
      <c r="E232" s="124"/>
      <c r="F232" s="124"/>
      <c r="G232" s="124"/>
      <c r="H232" s="124"/>
      <c r="I232" s="124"/>
      <c r="J232" s="124"/>
      <c r="K232" s="124"/>
    </row>
    <row r="233" spans="1:11" ht="25.5" x14ac:dyDescent="0.25">
      <c r="A233" s="112">
        <v>3232</v>
      </c>
      <c r="B233" s="113"/>
      <c r="C233" s="114"/>
      <c r="D233" s="111" t="s">
        <v>91</v>
      </c>
      <c r="E233" s="124"/>
      <c r="F233" s="124"/>
      <c r="G233" s="124"/>
      <c r="H233" s="124"/>
      <c r="I233" s="124"/>
      <c r="J233" s="124"/>
      <c r="K233" s="124"/>
    </row>
    <row r="234" spans="1:11" x14ac:dyDescent="0.25">
      <c r="A234" s="112">
        <v>3233</v>
      </c>
      <c r="B234" s="113"/>
      <c r="C234" s="114"/>
      <c r="D234" s="111" t="s">
        <v>92</v>
      </c>
      <c r="E234" s="124"/>
      <c r="F234" s="124"/>
      <c r="G234" s="124"/>
      <c r="H234" s="124"/>
      <c r="I234" s="124"/>
      <c r="J234" s="124"/>
      <c r="K234" s="124"/>
    </row>
    <row r="235" spans="1:11" x14ac:dyDescent="0.25">
      <c r="A235" s="112">
        <v>3234</v>
      </c>
      <c r="B235" s="113"/>
      <c r="C235" s="114"/>
      <c r="D235" s="111" t="s">
        <v>93</v>
      </c>
      <c r="E235" s="124"/>
      <c r="F235" s="124"/>
      <c r="G235" s="124"/>
      <c r="H235" s="124"/>
      <c r="I235" s="124"/>
      <c r="J235" s="124"/>
      <c r="K235" s="124"/>
    </row>
    <row r="236" spans="1:11" x14ac:dyDescent="0.25">
      <c r="A236" s="112">
        <v>3235</v>
      </c>
      <c r="B236" s="113"/>
      <c r="C236" s="114"/>
      <c r="D236" s="111" t="s">
        <v>94</v>
      </c>
      <c r="E236" s="124"/>
      <c r="F236" s="124"/>
      <c r="G236" s="124"/>
      <c r="H236" s="124"/>
      <c r="I236" s="124"/>
      <c r="J236" s="124"/>
      <c r="K236" s="124"/>
    </row>
    <row r="237" spans="1:11" x14ac:dyDescent="0.25">
      <c r="A237" s="112">
        <v>3236</v>
      </c>
      <c r="B237" s="113"/>
      <c r="C237" s="114"/>
      <c r="D237" s="111" t="s">
        <v>95</v>
      </c>
      <c r="E237" s="124"/>
      <c r="F237" s="124"/>
      <c r="G237" s="124"/>
      <c r="H237" s="124"/>
      <c r="I237" s="124"/>
      <c r="J237" s="124"/>
      <c r="K237" s="124"/>
    </row>
    <row r="238" spans="1:11" x14ac:dyDescent="0.25">
      <c r="A238" s="112">
        <v>3237</v>
      </c>
      <c r="B238" s="113"/>
      <c r="C238" s="114"/>
      <c r="D238" s="111" t="s">
        <v>96</v>
      </c>
      <c r="E238" s="124"/>
      <c r="F238" s="124"/>
      <c r="G238" s="124"/>
      <c r="H238" s="124"/>
      <c r="I238" s="124"/>
      <c r="J238" s="124"/>
      <c r="K238" s="124"/>
    </row>
    <row r="239" spans="1:11" x14ac:dyDescent="0.25">
      <c r="A239" s="112">
        <v>3238</v>
      </c>
      <c r="B239" s="113"/>
      <c r="C239" s="114"/>
      <c r="D239" s="111" t="s">
        <v>97</v>
      </c>
      <c r="E239" s="124"/>
      <c r="F239" s="124"/>
      <c r="G239" s="124"/>
      <c r="H239" s="124"/>
      <c r="I239" s="124"/>
      <c r="J239" s="124"/>
      <c r="K239" s="124"/>
    </row>
    <row r="240" spans="1:11" x14ac:dyDescent="0.25">
      <c r="A240" s="112">
        <v>3239</v>
      </c>
      <c r="B240" s="113"/>
      <c r="C240" s="114"/>
      <c r="D240" s="111" t="s">
        <v>98</v>
      </c>
      <c r="E240" s="124"/>
      <c r="F240" s="124"/>
      <c r="G240" s="124"/>
      <c r="H240" s="124"/>
      <c r="I240" s="124"/>
      <c r="J240" s="124"/>
      <c r="K240" s="124"/>
    </row>
    <row r="241" spans="1:11" x14ac:dyDescent="0.25">
      <c r="A241" s="112"/>
      <c r="B241" s="113"/>
      <c r="C241" s="114"/>
      <c r="D241" s="63" t="s">
        <v>118</v>
      </c>
      <c r="E241" s="125">
        <f>SUM(E206)</f>
        <v>12795</v>
      </c>
      <c r="F241" s="125">
        <f t="shared" ref="F241:K241" si="87">SUM(F206)</f>
        <v>1698.1883336651404</v>
      </c>
      <c r="G241" s="125">
        <f t="shared" si="87"/>
        <v>13000</v>
      </c>
      <c r="H241" s="125">
        <f t="shared" si="87"/>
        <v>1725.3965093901386</v>
      </c>
      <c r="I241" s="125">
        <f t="shared" si="87"/>
        <v>1000</v>
      </c>
      <c r="J241" s="125">
        <f t="shared" si="87"/>
        <v>1000</v>
      </c>
      <c r="K241" s="125">
        <f t="shared" si="87"/>
        <v>1000</v>
      </c>
    </row>
    <row r="242" spans="1:11" x14ac:dyDescent="0.25">
      <c r="A242" s="112"/>
      <c r="B242" s="113"/>
      <c r="C242" s="114"/>
      <c r="D242" s="111"/>
      <c r="E242" s="10"/>
      <c r="F242" s="10"/>
      <c r="G242" s="10"/>
      <c r="H242" s="10"/>
      <c r="I242" s="10"/>
      <c r="J242" s="10"/>
      <c r="K242" s="10"/>
    </row>
    <row r="243" spans="1:11" x14ac:dyDescent="0.25">
      <c r="A243" s="112"/>
      <c r="B243" s="113"/>
      <c r="C243" s="114"/>
      <c r="D243" s="111"/>
      <c r="E243" s="10"/>
      <c r="F243" s="10"/>
      <c r="G243" s="10"/>
      <c r="H243" s="10"/>
      <c r="I243" s="10"/>
      <c r="J243" s="10"/>
      <c r="K243" s="10"/>
    </row>
    <row r="244" spans="1:11" x14ac:dyDescent="0.25">
      <c r="A244" s="112"/>
      <c r="B244" s="113"/>
      <c r="C244" s="114"/>
      <c r="D244" s="111"/>
      <c r="E244" s="10"/>
      <c r="F244" s="10"/>
      <c r="G244" s="10"/>
      <c r="H244" s="10"/>
      <c r="I244" s="10"/>
      <c r="J244" s="10"/>
      <c r="K244" s="10"/>
    </row>
    <row r="245" spans="1:11" x14ac:dyDescent="0.25">
      <c r="A245" s="112"/>
      <c r="B245" s="113"/>
      <c r="C245" s="114"/>
      <c r="D245" s="111"/>
      <c r="E245" s="10"/>
      <c r="F245" s="10"/>
      <c r="G245" s="10"/>
      <c r="H245" s="10"/>
      <c r="I245" s="10"/>
      <c r="J245" s="10"/>
      <c r="K245" s="10"/>
    </row>
    <row r="246" spans="1:11" x14ac:dyDescent="0.25">
      <c r="A246" s="112"/>
      <c r="B246" s="113"/>
      <c r="C246" s="114"/>
      <c r="D246" s="111"/>
      <c r="E246" s="10"/>
      <c r="F246" s="10"/>
      <c r="G246" s="10"/>
      <c r="H246" s="10"/>
      <c r="I246" s="10"/>
      <c r="J246" s="10"/>
      <c r="K246" s="10"/>
    </row>
    <row r="247" spans="1:11" x14ac:dyDescent="0.25">
      <c r="A247" s="112"/>
      <c r="B247" s="113"/>
      <c r="C247" s="114"/>
      <c r="D247" s="111"/>
      <c r="E247" s="10"/>
      <c r="F247" s="10"/>
      <c r="G247" s="10"/>
      <c r="H247" s="10"/>
      <c r="I247" s="10"/>
      <c r="J247" s="10"/>
      <c r="K247" s="10"/>
    </row>
    <row r="248" spans="1:11" ht="25.5" x14ac:dyDescent="0.25">
      <c r="A248" s="201" t="s">
        <v>33</v>
      </c>
      <c r="B248" s="202"/>
      <c r="C248" s="203"/>
      <c r="D248" s="24" t="s">
        <v>34</v>
      </c>
      <c r="E248" s="24" t="s">
        <v>153</v>
      </c>
      <c r="F248" s="24" t="s">
        <v>151</v>
      </c>
      <c r="G248" s="24" t="s">
        <v>155</v>
      </c>
      <c r="H248" s="24" t="s">
        <v>152</v>
      </c>
      <c r="I248" s="24" t="s">
        <v>119</v>
      </c>
      <c r="J248" s="24" t="s">
        <v>120</v>
      </c>
      <c r="K248" s="24" t="s">
        <v>51</v>
      </c>
    </row>
    <row r="249" spans="1:11" ht="15" customHeight="1" x14ac:dyDescent="0.25">
      <c r="A249" s="210" t="s">
        <v>121</v>
      </c>
      <c r="B249" s="211"/>
      <c r="C249" s="212"/>
      <c r="D249" s="115" t="s">
        <v>40</v>
      </c>
      <c r="E249" s="10"/>
      <c r="F249" s="10"/>
      <c r="G249" s="10"/>
      <c r="H249" s="10"/>
      <c r="I249" s="10"/>
      <c r="J249" s="10"/>
      <c r="K249" s="10"/>
    </row>
    <row r="250" spans="1:11" ht="25.5" customHeight="1" x14ac:dyDescent="0.25">
      <c r="A250" s="210" t="s">
        <v>160</v>
      </c>
      <c r="B250" s="211"/>
      <c r="C250" s="212"/>
      <c r="D250" s="155" t="s">
        <v>167</v>
      </c>
      <c r="E250" s="10"/>
      <c r="F250" s="10"/>
      <c r="G250" s="10"/>
      <c r="H250" s="10"/>
      <c r="I250" s="10"/>
      <c r="J250" s="10"/>
      <c r="K250" s="10"/>
    </row>
    <row r="251" spans="1:11" ht="15" customHeight="1" x14ac:dyDescent="0.25">
      <c r="A251" s="204">
        <v>52</v>
      </c>
      <c r="B251" s="205"/>
      <c r="C251" s="206"/>
      <c r="D251" s="116" t="s">
        <v>53</v>
      </c>
      <c r="E251" s="10"/>
      <c r="F251" s="10"/>
      <c r="G251" s="10"/>
      <c r="H251" s="10"/>
      <c r="I251" s="10"/>
      <c r="J251" s="10"/>
      <c r="K251" s="10"/>
    </row>
    <row r="252" spans="1:11" x14ac:dyDescent="0.25">
      <c r="A252" s="207">
        <v>3</v>
      </c>
      <c r="B252" s="208"/>
      <c r="C252" s="209"/>
      <c r="D252" s="117" t="s">
        <v>23</v>
      </c>
      <c r="E252" s="121">
        <f t="shared" ref="E252:K252" si="88">SUM(E253+E263+E296+E300)</f>
        <v>3551279.59</v>
      </c>
      <c r="F252" s="121">
        <f t="shared" si="88"/>
        <v>472394.92866149044</v>
      </c>
      <c r="G252" s="121">
        <f t="shared" si="88"/>
        <v>3500000</v>
      </c>
      <c r="H252" s="121">
        <f t="shared" si="88"/>
        <v>466387.94876899594</v>
      </c>
      <c r="I252" s="121">
        <f>SUM(I253+I263+I296+I300)</f>
        <v>498900</v>
      </c>
      <c r="J252" s="121">
        <f t="shared" si="88"/>
        <v>504950</v>
      </c>
      <c r="K252" s="121">
        <f t="shared" si="88"/>
        <v>511300</v>
      </c>
    </row>
    <row r="253" spans="1:11" x14ac:dyDescent="0.25">
      <c r="A253" s="213">
        <v>31</v>
      </c>
      <c r="B253" s="214"/>
      <c r="C253" s="215"/>
      <c r="D253" s="57" t="s">
        <v>24</v>
      </c>
      <c r="E253" s="122">
        <f>SUM(E254+E258+E260)</f>
        <v>3346918.8</v>
      </c>
      <c r="F253" s="122">
        <f t="shared" ref="F253:K253" si="89">SUM(F254+F258+F260)</f>
        <v>444212.46267171012</v>
      </c>
      <c r="G253" s="122">
        <f t="shared" si="89"/>
        <v>3338000</v>
      </c>
      <c r="H253" s="122">
        <f t="shared" si="89"/>
        <v>443028.73448802176</v>
      </c>
      <c r="I253" s="122">
        <f>SUM(I254+I258+I260)</f>
        <v>461500</v>
      </c>
      <c r="J253" s="122">
        <f t="shared" si="89"/>
        <v>467000</v>
      </c>
      <c r="K253" s="122">
        <f t="shared" si="89"/>
        <v>473000</v>
      </c>
    </row>
    <row r="254" spans="1:11" ht="15" customHeight="1" x14ac:dyDescent="0.25">
      <c r="A254" s="52">
        <v>311</v>
      </c>
      <c r="B254" s="53"/>
      <c r="C254" s="54"/>
      <c r="D254" s="55" t="s">
        <v>60</v>
      </c>
      <c r="E254" s="123">
        <f t="shared" ref="E254:K254" si="90">SUM(E255:E257)</f>
        <v>2780617.08</v>
      </c>
      <c r="F254" s="123">
        <f t="shared" si="90"/>
        <v>369051.3079832769</v>
      </c>
      <c r="G254" s="123">
        <f t="shared" si="90"/>
        <v>2776750</v>
      </c>
      <c r="H254" s="123">
        <f t="shared" si="90"/>
        <v>368538.05826531287</v>
      </c>
      <c r="I254" s="123">
        <f t="shared" si="90"/>
        <v>385000</v>
      </c>
      <c r="J254" s="123">
        <f t="shared" si="90"/>
        <v>390000</v>
      </c>
      <c r="K254" s="123">
        <f t="shared" si="90"/>
        <v>395000</v>
      </c>
    </row>
    <row r="255" spans="1:11" x14ac:dyDescent="0.25">
      <c r="A255" s="112">
        <v>3111</v>
      </c>
      <c r="B255" s="113"/>
      <c r="C255" s="114"/>
      <c r="D255" s="111" t="s">
        <v>72</v>
      </c>
      <c r="E255" s="124">
        <v>2780617.08</v>
      </c>
      <c r="F255" s="124">
        <f>E255/7.5345</f>
        <v>369051.3079832769</v>
      </c>
      <c r="G255" s="124">
        <v>2776750</v>
      </c>
      <c r="H255" s="124">
        <f>G255/7.5345</f>
        <v>368538.05826531287</v>
      </c>
      <c r="I255" s="124">
        <v>385000</v>
      </c>
      <c r="J255" s="124">
        <v>390000</v>
      </c>
      <c r="K255" s="124">
        <v>395000</v>
      </c>
    </row>
    <row r="256" spans="1:11" x14ac:dyDescent="0.25">
      <c r="A256" s="112">
        <v>3113</v>
      </c>
      <c r="B256" s="113"/>
      <c r="C256" s="114"/>
      <c r="D256" s="111" t="s">
        <v>73</v>
      </c>
      <c r="E256" s="124"/>
      <c r="F256" s="124"/>
      <c r="G256" s="124"/>
      <c r="H256" s="124"/>
      <c r="I256" s="124"/>
      <c r="J256" s="124"/>
      <c r="K256" s="124"/>
    </row>
    <row r="257" spans="1:11" x14ac:dyDescent="0.25">
      <c r="A257" s="112">
        <v>3114</v>
      </c>
      <c r="B257" s="113"/>
      <c r="C257" s="114"/>
      <c r="D257" s="111" t="s">
        <v>74</v>
      </c>
      <c r="E257" s="124"/>
      <c r="F257" s="124"/>
      <c r="G257" s="124"/>
      <c r="H257" s="124"/>
      <c r="I257" s="124"/>
      <c r="J257" s="124"/>
      <c r="K257" s="124"/>
    </row>
    <row r="258" spans="1:11" x14ac:dyDescent="0.25">
      <c r="A258" s="52">
        <v>312</v>
      </c>
      <c r="B258" s="53"/>
      <c r="C258" s="54"/>
      <c r="D258" s="55" t="s">
        <v>75</v>
      </c>
      <c r="E258" s="123">
        <f t="shared" ref="E258:K258" si="91">SUM(E259)</f>
        <v>107500</v>
      </c>
      <c r="F258" s="123">
        <f t="shared" si="91"/>
        <v>14267.701904572299</v>
      </c>
      <c r="G258" s="123">
        <f t="shared" si="91"/>
        <v>110000</v>
      </c>
      <c r="H258" s="123">
        <f t="shared" si="91"/>
        <v>14599.508925608865</v>
      </c>
      <c r="I258" s="123">
        <f t="shared" si="91"/>
        <v>15500</v>
      </c>
      <c r="J258" s="123">
        <f t="shared" si="91"/>
        <v>15500</v>
      </c>
      <c r="K258" s="123">
        <f t="shared" si="91"/>
        <v>16000</v>
      </c>
    </row>
    <row r="259" spans="1:11" x14ac:dyDescent="0.25">
      <c r="A259" s="112">
        <v>3121</v>
      </c>
      <c r="B259" s="113"/>
      <c r="C259" s="114"/>
      <c r="D259" s="111" t="s">
        <v>76</v>
      </c>
      <c r="E259" s="124">
        <v>107500</v>
      </c>
      <c r="F259" s="124">
        <f>E259/7.5345</f>
        <v>14267.701904572299</v>
      </c>
      <c r="G259" s="124">
        <v>110000</v>
      </c>
      <c r="H259" s="124">
        <f>G259/7.5345</f>
        <v>14599.508925608865</v>
      </c>
      <c r="I259" s="124">
        <v>15500</v>
      </c>
      <c r="J259" s="124">
        <v>15500</v>
      </c>
      <c r="K259" s="124">
        <v>16000</v>
      </c>
    </row>
    <row r="260" spans="1:11" x14ac:dyDescent="0.25">
      <c r="A260" s="52">
        <v>313</v>
      </c>
      <c r="B260" s="53"/>
      <c r="C260" s="54"/>
      <c r="D260" s="55" t="s">
        <v>61</v>
      </c>
      <c r="E260" s="123">
        <f t="shared" ref="E260:G260" si="92">SUM(E261:E262)</f>
        <v>458801.72</v>
      </c>
      <c r="F260" s="123">
        <f>SUM(F261:F262)</f>
        <v>60893.452783860899</v>
      </c>
      <c r="G260" s="123">
        <f t="shared" si="92"/>
        <v>451250</v>
      </c>
      <c r="H260" s="123">
        <f t="shared" ref="H260" si="93">SUM(H261:H262)</f>
        <v>59891.167297100001</v>
      </c>
      <c r="I260" s="123">
        <f t="shared" ref="I260" si="94">SUM(I261:I262)</f>
        <v>61000</v>
      </c>
      <c r="J260" s="123">
        <f t="shared" ref="J260" si="95">SUM(J261:J262)</f>
        <v>61500</v>
      </c>
      <c r="K260" s="123">
        <f t="shared" ref="K260" si="96">SUM(K261:K262)</f>
        <v>62000</v>
      </c>
    </row>
    <row r="261" spans="1:11" x14ac:dyDescent="0.25">
      <c r="A261" s="112">
        <v>3131</v>
      </c>
      <c r="B261" s="113"/>
      <c r="C261" s="114"/>
      <c r="D261" s="111" t="s">
        <v>77</v>
      </c>
      <c r="E261" s="124"/>
      <c r="F261" s="124"/>
      <c r="G261" s="124"/>
      <c r="H261" s="124"/>
      <c r="I261" s="124"/>
      <c r="J261" s="124"/>
      <c r="K261" s="124"/>
    </row>
    <row r="262" spans="1:11" ht="25.5" x14ac:dyDescent="0.25">
      <c r="A262" s="112">
        <v>3132</v>
      </c>
      <c r="B262" s="113"/>
      <c r="C262" s="114"/>
      <c r="D262" s="111" t="s">
        <v>78</v>
      </c>
      <c r="E262" s="124">
        <v>458801.72</v>
      </c>
      <c r="F262" s="124">
        <f>E262/7.5345</f>
        <v>60893.452783860899</v>
      </c>
      <c r="G262" s="124">
        <v>451250</v>
      </c>
      <c r="H262" s="124">
        <f>G262/7.5345</f>
        <v>59891.167297100001</v>
      </c>
      <c r="I262" s="124">
        <v>61000</v>
      </c>
      <c r="J262" s="124">
        <v>61500</v>
      </c>
      <c r="K262" s="124">
        <v>62000</v>
      </c>
    </row>
    <row r="263" spans="1:11" x14ac:dyDescent="0.25">
      <c r="A263" s="213">
        <v>32</v>
      </c>
      <c r="B263" s="214"/>
      <c r="C263" s="215"/>
      <c r="D263" s="57" t="s">
        <v>35</v>
      </c>
      <c r="E263" s="122">
        <f>SUM(E264+E269+E277+E287+E288)</f>
        <v>173070.5</v>
      </c>
      <c r="F263" s="122">
        <f t="shared" ref="F263:K263" si="97">SUM(F264+F269+F277+F287+F288)</f>
        <v>22970.402813723536</v>
      </c>
      <c r="G263" s="122">
        <f t="shared" si="97"/>
        <v>162000</v>
      </c>
      <c r="H263" s="122">
        <f t="shared" si="97"/>
        <v>21501.09496316942</v>
      </c>
      <c r="I263" s="122">
        <f>SUM(I264+I269+I277+I287+I288)</f>
        <v>33500</v>
      </c>
      <c r="J263" s="122">
        <f t="shared" si="97"/>
        <v>34000</v>
      </c>
      <c r="K263" s="122">
        <f t="shared" si="97"/>
        <v>34300</v>
      </c>
    </row>
    <row r="264" spans="1:11" x14ac:dyDescent="0.25">
      <c r="A264" s="52">
        <v>321</v>
      </c>
      <c r="B264" s="53"/>
      <c r="C264" s="54"/>
      <c r="D264" s="55" t="s">
        <v>62</v>
      </c>
      <c r="E264" s="123">
        <f t="shared" ref="E264:K264" si="98">SUM(E265:E268)</f>
        <v>131606</v>
      </c>
      <c r="F264" s="123">
        <f t="shared" si="98"/>
        <v>17467.117924215276</v>
      </c>
      <c r="G264" s="123">
        <f t="shared" si="98"/>
        <v>140000</v>
      </c>
      <c r="H264" s="123">
        <f t="shared" si="98"/>
        <v>18581.193178047648</v>
      </c>
      <c r="I264" s="123">
        <f t="shared" si="98"/>
        <v>18600</v>
      </c>
      <c r="J264" s="123">
        <f t="shared" si="98"/>
        <v>19000</v>
      </c>
      <c r="K264" s="123">
        <f t="shared" si="98"/>
        <v>19200</v>
      </c>
    </row>
    <row r="265" spans="1:11" x14ac:dyDescent="0.25">
      <c r="A265" s="112">
        <v>3211</v>
      </c>
      <c r="B265" s="113"/>
      <c r="C265" s="114"/>
      <c r="D265" s="111" t="s">
        <v>79</v>
      </c>
      <c r="E265" s="124"/>
      <c r="F265" s="124"/>
      <c r="G265" s="124"/>
      <c r="H265" s="124"/>
      <c r="I265" s="124"/>
      <c r="J265" s="124"/>
      <c r="K265" s="124"/>
    </row>
    <row r="266" spans="1:11" ht="25.5" x14ac:dyDescent="0.25">
      <c r="A266" s="112">
        <v>3212</v>
      </c>
      <c r="B266" s="113"/>
      <c r="C266" s="114"/>
      <c r="D266" s="111" t="s">
        <v>150</v>
      </c>
      <c r="E266" s="124">
        <v>131606</v>
      </c>
      <c r="F266" s="124">
        <f>E266/7.5345</f>
        <v>17467.117924215276</v>
      </c>
      <c r="G266" s="124">
        <v>140000</v>
      </c>
      <c r="H266" s="124">
        <f>G266/7.5345</f>
        <v>18581.193178047648</v>
      </c>
      <c r="I266" s="124">
        <v>18600</v>
      </c>
      <c r="J266" s="124">
        <v>19000</v>
      </c>
      <c r="K266" s="124">
        <v>19200</v>
      </c>
    </row>
    <row r="267" spans="1:11" x14ac:dyDescent="0.25">
      <c r="A267" s="112">
        <v>3213</v>
      </c>
      <c r="B267" s="113"/>
      <c r="C267" s="114"/>
      <c r="D267" s="111" t="s">
        <v>81</v>
      </c>
      <c r="E267" s="124"/>
      <c r="F267" s="124"/>
      <c r="G267" s="124"/>
      <c r="H267" s="124"/>
      <c r="I267" s="124"/>
      <c r="J267" s="124"/>
      <c r="K267" s="124"/>
    </row>
    <row r="268" spans="1:11" ht="25.5" x14ac:dyDescent="0.25">
      <c r="A268" s="112">
        <v>3214</v>
      </c>
      <c r="B268" s="113"/>
      <c r="C268" s="114"/>
      <c r="D268" s="111" t="s">
        <v>82</v>
      </c>
      <c r="E268" s="124"/>
      <c r="F268" s="124"/>
      <c r="G268" s="124"/>
      <c r="H268" s="124"/>
      <c r="I268" s="124"/>
      <c r="J268" s="124"/>
      <c r="K268" s="124"/>
    </row>
    <row r="269" spans="1:11" x14ac:dyDescent="0.25">
      <c r="A269" s="52">
        <v>322</v>
      </c>
      <c r="B269" s="53"/>
      <c r="C269" s="54"/>
      <c r="D269" s="55" t="s">
        <v>63</v>
      </c>
      <c r="E269" s="123">
        <f t="shared" ref="E269:K269" si="99">SUM(E270:E276)</f>
        <v>25501.5</v>
      </c>
      <c r="F269" s="123">
        <f t="shared" si="99"/>
        <v>3384.630698785586</v>
      </c>
      <c r="G269" s="123">
        <f t="shared" si="99"/>
        <v>8000</v>
      </c>
      <c r="H269" s="123">
        <f t="shared" si="99"/>
        <v>1061.7824673170085</v>
      </c>
      <c r="I269" s="123">
        <f t="shared" si="99"/>
        <v>13000</v>
      </c>
      <c r="J269" s="123">
        <f t="shared" si="99"/>
        <v>13000</v>
      </c>
      <c r="K269" s="123">
        <f t="shared" si="99"/>
        <v>13000</v>
      </c>
    </row>
    <row r="270" spans="1:11" ht="25.5" x14ac:dyDescent="0.25">
      <c r="A270" s="112">
        <v>3221</v>
      </c>
      <c r="B270" s="113"/>
      <c r="C270" s="114"/>
      <c r="D270" s="111" t="s">
        <v>83</v>
      </c>
      <c r="E270" s="124"/>
      <c r="F270" s="124"/>
      <c r="G270" s="124"/>
      <c r="H270" s="124"/>
      <c r="I270" s="124"/>
      <c r="J270" s="124"/>
      <c r="K270" s="124"/>
    </row>
    <row r="271" spans="1:11" x14ac:dyDescent="0.25">
      <c r="A271" s="112">
        <v>3222</v>
      </c>
      <c r="B271" s="113"/>
      <c r="C271" s="114"/>
      <c r="D271" s="111" t="s">
        <v>84</v>
      </c>
      <c r="E271" s="124">
        <v>8500</v>
      </c>
      <c r="F271" s="124">
        <f>E271/7.5345</f>
        <v>1128.1438715243214</v>
      </c>
      <c r="G271" s="124">
        <v>8000</v>
      </c>
      <c r="H271" s="124">
        <f>G271/7.5345</f>
        <v>1061.7824673170085</v>
      </c>
      <c r="I271" s="124">
        <v>13000</v>
      </c>
      <c r="J271" s="124">
        <v>13000</v>
      </c>
      <c r="K271" s="124">
        <v>13000</v>
      </c>
    </row>
    <row r="272" spans="1:11" x14ac:dyDescent="0.25">
      <c r="A272" s="112">
        <v>3223</v>
      </c>
      <c r="B272" s="113"/>
      <c r="C272" s="114"/>
      <c r="D272" s="111" t="s">
        <v>85</v>
      </c>
      <c r="E272" s="124"/>
      <c r="F272" s="124"/>
      <c r="G272" s="124"/>
      <c r="H272" s="124"/>
      <c r="I272" s="124"/>
      <c r="J272" s="124"/>
      <c r="K272" s="124"/>
    </row>
    <row r="273" spans="1:11" ht="25.5" x14ac:dyDescent="0.25">
      <c r="A273" s="112">
        <v>3224</v>
      </c>
      <c r="B273" s="113"/>
      <c r="C273" s="114"/>
      <c r="D273" s="111" t="s">
        <v>86</v>
      </c>
      <c r="E273" s="124"/>
      <c r="F273" s="124"/>
      <c r="G273" s="124"/>
      <c r="H273" s="124"/>
      <c r="I273" s="124"/>
      <c r="J273" s="124"/>
      <c r="K273" s="124"/>
    </row>
    <row r="274" spans="1:11" x14ac:dyDescent="0.25">
      <c r="A274" s="112">
        <v>3225</v>
      </c>
      <c r="B274" s="113"/>
      <c r="C274" s="114"/>
      <c r="D274" s="111" t="s">
        <v>87</v>
      </c>
      <c r="E274" s="124">
        <v>17001.5</v>
      </c>
      <c r="F274" s="124">
        <f>E274/7.5345</f>
        <v>2256.4868272612648</v>
      </c>
      <c r="G274" s="124"/>
      <c r="H274" s="124"/>
      <c r="I274" s="124"/>
      <c r="J274" s="124"/>
      <c r="K274" s="124"/>
    </row>
    <row r="275" spans="1:11" ht="25.5" x14ac:dyDescent="0.25">
      <c r="A275" s="112">
        <v>3226</v>
      </c>
      <c r="B275" s="113"/>
      <c r="C275" s="114"/>
      <c r="D275" s="111" t="s">
        <v>88</v>
      </c>
      <c r="E275" s="124"/>
      <c r="F275" s="124"/>
      <c r="G275" s="124"/>
      <c r="H275" s="124"/>
      <c r="I275" s="124"/>
      <c r="J275" s="124"/>
      <c r="K275" s="124"/>
    </row>
    <row r="276" spans="1:11" ht="25.5" x14ac:dyDescent="0.25">
      <c r="A276" s="112">
        <v>3227</v>
      </c>
      <c r="B276" s="113"/>
      <c r="C276" s="114"/>
      <c r="D276" s="111" t="s">
        <v>89</v>
      </c>
      <c r="E276" s="124"/>
      <c r="F276" s="124"/>
      <c r="G276" s="124"/>
      <c r="H276" s="124"/>
      <c r="I276" s="124"/>
      <c r="J276" s="124"/>
      <c r="K276" s="124"/>
    </row>
    <row r="277" spans="1:11" x14ac:dyDescent="0.25">
      <c r="A277" s="52">
        <v>323</v>
      </c>
      <c r="B277" s="53"/>
      <c r="C277" s="54"/>
      <c r="D277" s="55" t="s">
        <v>64</v>
      </c>
      <c r="E277" s="123">
        <f t="shared" ref="E277:K277" si="100">SUM(E278:E286)</f>
        <v>1450</v>
      </c>
      <c r="F277" s="123">
        <f t="shared" si="100"/>
        <v>192.44807220120776</v>
      </c>
      <c r="G277" s="123">
        <f t="shared" si="100"/>
        <v>0</v>
      </c>
      <c r="H277" s="123">
        <f t="shared" si="100"/>
        <v>0</v>
      </c>
      <c r="I277" s="123">
        <f t="shared" si="100"/>
        <v>0</v>
      </c>
      <c r="J277" s="123">
        <f t="shared" si="100"/>
        <v>0</v>
      </c>
      <c r="K277" s="123">
        <f t="shared" si="100"/>
        <v>0</v>
      </c>
    </row>
    <row r="278" spans="1:11" x14ac:dyDescent="0.25">
      <c r="A278" s="112">
        <v>3231</v>
      </c>
      <c r="B278" s="113"/>
      <c r="C278" s="114"/>
      <c r="D278" s="111" t="s">
        <v>90</v>
      </c>
      <c r="E278" s="124"/>
      <c r="F278" s="124"/>
      <c r="G278" s="124"/>
      <c r="H278" s="124"/>
      <c r="I278" s="124"/>
      <c r="J278" s="124"/>
      <c r="K278" s="124"/>
    </row>
    <row r="279" spans="1:11" ht="25.5" x14ac:dyDescent="0.25">
      <c r="A279" s="112">
        <v>3232</v>
      </c>
      <c r="B279" s="113"/>
      <c r="C279" s="114"/>
      <c r="D279" s="111" t="s">
        <v>91</v>
      </c>
      <c r="E279" s="124"/>
      <c r="F279" s="124"/>
      <c r="G279" s="124"/>
      <c r="H279" s="124"/>
      <c r="I279" s="124"/>
      <c r="J279" s="124"/>
      <c r="K279" s="124"/>
    </row>
    <row r="280" spans="1:11" x14ac:dyDescent="0.25">
      <c r="A280" s="112">
        <v>3233</v>
      </c>
      <c r="B280" s="113"/>
      <c r="C280" s="114"/>
      <c r="D280" s="111" t="s">
        <v>92</v>
      </c>
      <c r="E280" s="124"/>
      <c r="F280" s="124"/>
      <c r="G280" s="124"/>
      <c r="H280" s="124"/>
      <c r="I280" s="124"/>
      <c r="J280" s="124"/>
      <c r="K280" s="124"/>
    </row>
    <row r="281" spans="1:11" x14ac:dyDescent="0.25">
      <c r="A281" s="112">
        <v>3234</v>
      </c>
      <c r="B281" s="113"/>
      <c r="C281" s="114"/>
      <c r="D281" s="111" t="s">
        <v>93</v>
      </c>
      <c r="E281" s="124"/>
      <c r="F281" s="124"/>
      <c r="G281" s="124"/>
      <c r="H281" s="124"/>
      <c r="I281" s="124"/>
      <c r="J281" s="124"/>
      <c r="K281" s="124"/>
    </row>
    <row r="282" spans="1:11" x14ac:dyDescent="0.25">
      <c r="A282" s="112">
        <v>3235</v>
      </c>
      <c r="B282" s="113"/>
      <c r="C282" s="114"/>
      <c r="D282" s="111" t="s">
        <v>94</v>
      </c>
      <c r="E282" s="124"/>
      <c r="F282" s="124"/>
      <c r="G282" s="124"/>
      <c r="H282" s="124"/>
      <c r="I282" s="124"/>
      <c r="J282" s="124"/>
      <c r="K282" s="124"/>
    </row>
    <row r="283" spans="1:11" x14ac:dyDescent="0.25">
      <c r="A283" s="112">
        <v>3236</v>
      </c>
      <c r="B283" s="113"/>
      <c r="C283" s="114"/>
      <c r="D283" s="111" t="s">
        <v>95</v>
      </c>
      <c r="E283" s="124">
        <v>1450</v>
      </c>
      <c r="F283" s="124">
        <f>E283/7.5345</f>
        <v>192.44807220120776</v>
      </c>
      <c r="G283" s="124"/>
      <c r="H283" s="124"/>
      <c r="I283" s="124"/>
      <c r="J283" s="124"/>
      <c r="K283" s="124"/>
    </row>
    <row r="284" spans="1:11" x14ac:dyDescent="0.25">
      <c r="A284" s="112">
        <v>3237</v>
      </c>
      <c r="B284" s="113"/>
      <c r="C284" s="114"/>
      <c r="D284" s="111" t="s">
        <v>96</v>
      </c>
      <c r="E284" s="124"/>
      <c r="F284" s="124"/>
      <c r="G284" s="124"/>
      <c r="H284" s="124"/>
      <c r="I284" s="124"/>
      <c r="J284" s="124"/>
      <c r="K284" s="124"/>
    </row>
    <row r="285" spans="1:11" x14ac:dyDescent="0.25">
      <c r="A285" s="112">
        <v>3238</v>
      </c>
      <c r="B285" s="113"/>
      <c r="C285" s="114"/>
      <c r="D285" s="111" t="s">
        <v>97</v>
      </c>
      <c r="E285" s="124"/>
      <c r="F285" s="124"/>
      <c r="G285" s="124"/>
      <c r="H285" s="124"/>
      <c r="I285" s="124"/>
      <c r="J285" s="124"/>
      <c r="K285" s="124"/>
    </row>
    <row r="286" spans="1:11" x14ac:dyDescent="0.25">
      <c r="A286" s="112">
        <v>3239</v>
      </c>
      <c r="B286" s="113"/>
      <c r="C286" s="114"/>
      <c r="D286" s="111" t="s">
        <v>98</v>
      </c>
      <c r="E286" s="124"/>
      <c r="F286" s="124"/>
      <c r="G286" s="124"/>
      <c r="H286" s="124"/>
      <c r="I286" s="124"/>
      <c r="J286" s="124"/>
      <c r="K286" s="124"/>
    </row>
    <row r="287" spans="1:11" ht="25.5" x14ac:dyDescent="0.25">
      <c r="A287" s="52">
        <v>324</v>
      </c>
      <c r="B287" s="53"/>
      <c r="C287" s="54"/>
      <c r="D287" s="55" t="s">
        <v>99</v>
      </c>
      <c r="E287" s="123"/>
      <c r="F287" s="123"/>
      <c r="G287" s="123"/>
      <c r="H287" s="123"/>
      <c r="I287" s="123"/>
      <c r="J287" s="123"/>
      <c r="K287" s="123"/>
    </row>
    <row r="288" spans="1:11" ht="25.5" x14ac:dyDescent="0.25">
      <c r="A288" s="52">
        <v>329</v>
      </c>
      <c r="B288" s="53"/>
      <c r="C288" s="54"/>
      <c r="D288" s="55" t="s">
        <v>100</v>
      </c>
      <c r="E288" s="123">
        <f t="shared" ref="E288:K288" si="101">SUM(E289:E295)</f>
        <v>14513</v>
      </c>
      <c r="F288" s="123">
        <f t="shared" si="101"/>
        <v>1926.2061185214677</v>
      </c>
      <c r="G288" s="123">
        <f t="shared" si="101"/>
        <v>14000</v>
      </c>
      <c r="H288" s="123">
        <f t="shared" si="101"/>
        <v>1858.1193178047647</v>
      </c>
      <c r="I288" s="123">
        <f t="shared" si="101"/>
        <v>1900</v>
      </c>
      <c r="J288" s="123">
        <f t="shared" si="101"/>
        <v>2000</v>
      </c>
      <c r="K288" s="123">
        <f t="shared" si="101"/>
        <v>2100</v>
      </c>
    </row>
    <row r="289" spans="1:11" ht="38.25" x14ac:dyDescent="0.25">
      <c r="A289" s="112">
        <v>3291</v>
      </c>
      <c r="B289" s="113"/>
      <c r="C289" s="114"/>
      <c r="D289" s="111" t="s">
        <v>101</v>
      </c>
      <c r="E289" s="124"/>
      <c r="F289" s="124"/>
      <c r="G289" s="124"/>
      <c r="H289" s="124"/>
      <c r="I289" s="124"/>
      <c r="J289" s="124"/>
      <c r="K289" s="124"/>
    </row>
    <row r="290" spans="1:11" x14ac:dyDescent="0.25">
      <c r="A290" s="112">
        <v>3292</v>
      </c>
      <c r="B290" s="113"/>
      <c r="C290" s="114"/>
      <c r="D290" s="111" t="s">
        <v>102</v>
      </c>
      <c r="E290" s="124"/>
      <c r="F290" s="124"/>
      <c r="G290" s="124"/>
      <c r="H290" s="124"/>
      <c r="I290" s="124"/>
      <c r="J290" s="124"/>
      <c r="K290" s="124"/>
    </row>
    <row r="291" spans="1:11" x14ac:dyDescent="0.25">
      <c r="A291" s="112">
        <v>3293</v>
      </c>
      <c r="B291" s="113"/>
      <c r="C291" s="114"/>
      <c r="D291" s="111" t="s">
        <v>103</v>
      </c>
      <c r="E291" s="124"/>
      <c r="F291" s="124"/>
      <c r="G291" s="124"/>
      <c r="H291" s="124"/>
      <c r="I291" s="124"/>
      <c r="J291" s="124"/>
      <c r="K291" s="124"/>
    </row>
    <row r="292" spans="1:11" x14ac:dyDescent="0.25">
      <c r="A292" s="112">
        <v>3294</v>
      </c>
      <c r="B292" s="113"/>
      <c r="C292" s="114"/>
      <c r="D292" s="111" t="s">
        <v>104</v>
      </c>
      <c r="E292" s="124"/>
      <c r="F292" s="124"/>
      <c r="G292" s="124"/>
      <c r="H292" s="124"/>
      <c r="I292" s="124"/>
      <c r="J292" s="124"/>
      <c r="K292" s="124"/>
    </row>
    <row r="293" spans="1:11" x14ac:dyDescent="0.25">
      <c r="A293" s="112">
        <v>3295</v>
      </c>
      <c r="B293" s="113"/>
      <c r="C293" s="114"/>
      <c r="D293" s="111" t="s">
        <v>105</v>
      </c>
      <c r="E293" s="124">
        <v>14513</v>
      </c>
      <c r="F293" s="124">
        <f>E293/7.5345</f>
        <v>1926.2061185214677</v>
      </c>
      <c r="G293" s="124">
        <v>14000</v>
      </c>
      <c r="H293" s="124">
        <f>G293/7.5345</f>
        <v>1858.1193178047647</v>
      </c>
      <c r="I293" s="124">
        <v>1900</v>
      </c>
      <c r="J293" s="124">
        <v>2000</v>
      </c>
      <c r="K293" s="124">
        <v>2100</v>
      </c>
    </row>
    <row r="294" spans="1:11" x14ac:dyDescent="0.25">
      <c r="A294" s="112">
        <v>3296</v>
      </c>
      <c r="B294" s="113"/>
      <c r="C294" s="114"/>
      <c r="D294" s="111" t="s">
        <v>106</v>
      </c>
      <c r="E294" s="124"/>
      <c r="F294" s="124"/>
      <c r="G294" s="124"/>
      <c r="H294" s="124"/>
      <c r="I294" s="124"/>
      <c r="J294" s="124"/>
      <c r="K294" s="124"/>
    </row>
    <row r="295" spans="1:11" ht="25.5" x14ac:dyDescent="0.25">
      <c r="A295" s="112">
        <v>3299</v>
      </c>
      <c r="B295" s="113"/>
      <c r="C295" s="114"/>
      <c r="D295" s="111" t="s">
        <v>65</v>
      </c>
      <c r="E295" s="124"/>
      <c r="F295" s="124"/>
      <c r="G295" s="124"/>
      <c r="H295" s="124"/>
      <c r="I295" s="124"/>
      <c r="J295" s="124"/>
      <c r="K295" s="124"/>
    </row>
    <row r="296" spans="1:11" x14ac:dyDescent="0.25">
      <c r="A296" s="118">
        <v>34</v>
      </c>
      <c r="B296" s="119"/>
      <c r="C296" s="120"/>
      <c r="D296" s="57" t="s">
        <v>66</v>
      </c>
      <c r="E296" s="122">
        <f t="shared" ref="E296:K296" si="102">SUM(E297)</f>
        <v>0</v>
      </c>
      <c r="F296" s="122">
        <f t="shared" si="102"/>
        <v>0</v>
      </c>
      <c r="G296" s="122">
        <f t="shared" si="102"/>
        <v>0</v>
      </c>
      <c r="H296" s="122">
        <f t="shared" si="102"/>
        <v>0</v>
      </c>
      <c r="I296" s="122">
        <f t="shared" si="102"/>
        <v>0</v>
      </c>
      <c r="J296" s="122">
        <f t="shared" si="102"/>
        <v>0</v>
      </c>
      <c r="K296" s="122">
        <f t="shared" si="102"/>
        <v>0</v>
      </c>
    </row>
    <row r="297" spans="1:11" x14ac:dyDescent="0.25">
      <c r="A297" s="52">
        <v>343</v>
      </c>
      <c r="B297" s="53"/>
      <c r="C297" s="54"/>
      <c r="D297" s="55" t="s">
        <v>67</v>
      </c>
      <c r="E297" s="123">
        <f t="shared" ref="E297:K297" si="103">SUM(E298:E299)</f>
        <v>0</v>
      </c>
      <c r="F297" s="123">
        <f t="shared" si="103"/>
        <v>0</v>
      </c>
      <c r="G297" s="123">
        <f t="shared" si="103"/>
        <v>0</v>
      </c>
      <c r="H297" s="123">
        <f t="shared" si="103"/>
        <v>0</v>
      </c>
      <c r="I297" s="123">
        <f t="shared" si="103"/>
        <v>0</v>
      </c>
      <c r="J297" s="123">
        <f t="shared" si="103"/>
        <v>0</v>
      </c>
      <c r="K297" s="123">
        <f t="shared" si="103"/>
        <v>0</v>
      </c>
    </row>
    <row r="298" spans="1:11" ht="25.5" x14ac:dyDescent="0.25">
      <c r="A298" s="112">
        <v>3431</v>
      </c>
      <c r="B298" s="113"/>
      <c r="C298" s="114"/>
      <c r="D298" s="111" t="s">
        <v>107</v>
      </c>
      <c r="E298" s="124"/>
      <c r="F298" s="124"/>
      <c r="G298" s="124"/>
      <c r="H298" s="124"/>
      <c r="I298" s="124"/>
      <c r="J298" s="124"/>
      <c r="K298" s="124"/>
    </row>
    <row r="299" spans="1:11" x14ac:dyDescent="0.25">
      <c r="A299" s="112">
        <v>3433</v>
      </c>
      <c r="B299" s="113"/>
      <c r="C299" s="114"/>
      <c r="D299" s="111" t="s">
        <v>108</v>
      </c>
      <c r="E299" s="124"/>
      <c r="F299" s="124"/>
      <c r="G299" s="124"/>
      <c r="H299" s="124"/>
      <c r="I299" s="124"/>
      <c r="J299" s="124"/>
      <c r="K299" s="124"/>
    </row>
    <row r="300" spans="1:11" ht="38.25" x14ac:dyDescent="0.25">
      <c r="A300" s="118">
        <v>37</v>
      </c>
      <c r="B300" s="119"/>
      <c r="C300" s="120"/>
      <c r="D300" s="57" t="s">
        <v>68</v>
      </c>
      <c r="E300" s="122">
        <f t="shared" ref="E300:K300" si="104">SUM(E301)</f>
        <v>31290.29</v>
      </c>
      <c r="F300" s="122">
        <f t="shared" si="104"/>
        <v>5212.0631760568049</v>
      </c>
      <c r="G300" s="122">
        <f t="shared" si="104"/>
        <v>0</v>
      </c>
      <c r="H300" s="122">
        <f t="shared" si="104"/>
        <v>1858.1193178047647</v>
      </c>
      <c r="I300" s="122">
        <f t="shared" si="104"/>
        <v>3900</v>
      </c>
      <c r="J300" s="122">
        <f t="shared" si="104"/>
        <v>3950</v>
      </c>
      <c r="K300" s="122">
        <f t="shared" si="104"/>
        <v>4000</v>
      </c>
    </row>
    <row r="301" spans="1:11" ht="25.5" x14ac:dyDescent="0.25">
      <c r="A301" s="52">
        <v>372</v>
      </c>
      <c r="B301" s="53"/>
      <c r="C301" s="54"/>
      <c r="D301" s="55" t="s">
        <v>69</v>
      </c>
      <c r="E301" s="123">
        <f>SUM(E302:E303)</f>
        <v>31290.29</v>
      </c>
      <c r="F301" s="123">
        <f t="shared" ref="F301:H301" si="105">SUM(F302:F305)</f>
        <v>5212.0631760568049</v>
      </c>
      <c r="G301" s="123">
        <f>SUM(G302:G303)</f>
        <v>0</v>
      </c>
      <c r="H301" s="123">
        <f t="shared" si="105"/>
        <v>1858.1193178047647</v>
      </c>
      <c r="I301" s="123">
        <f>I302+I303</f>
        <v>3900</v>
      </c>
      <c r="J301" s="123">
        <f t="shared" ref="J301:K301" si="106">J302+J303</f>
        <v>3950</v>
      </c>
      <c r="K301" s="123">
        <f t="shared" si="106"/>
        <v>4000</v>
      </c>
    </row>
    <row r="302" spans="1:11" ht="25.5" x14ac:dyDescent="0.25">
      <c r="A302" s="112">
        <v>3721</v>
      </c>
      <c r="B302" s="113"/>
      <c r="C302" s="114"/>
      <c r="D302" s="111" t="s">
        <v>109</v>
      </c>
      <c r="E302" s="124"/>
      <c r="F302" s="124"/>
      <c r="G302" s="124"/>
      <c r="H302" s="124"/>
      <c r="I302" s="124"/>
      <c r="J302" s="124"/>
      <c r="K302" s="124"/>
    </row>
    <row r="303" spans="1:11" ht="25.5" x14ac:dyDescent="0.25">
      <c r="A303" s="112">
        <v>3722</v>
      </c>
      <c r="B303" s="113"/>
      <c r="C303" s="114"/>
      <c r="D303" s="111" t="s">
        <v>110</v>
      </c>
      <c r="E303" s="124">
        <v>31290.29</v>
      </c>
      <c r="F303" s="124">
        <f>E303/7.5345</f>
        <v>4152.9351649080891</v>
      </c>
      <c r="G303" s="124"/>
      <c r="H303" s="124"/>
      <c r="I303" s="124">
        <v>3900</v>
      </c>
      <c r="J303" s="124">
        <v>3950</v>
      </c>
      <c r="K303" s="124">
        <v>4000</v>
      </c>
    </row>
    <row r="304" spans="1:11" ht="38.25" x14ac:dyDescent="0.25">
      <c r="A304" s="59">
        <v>4</v>
      </c>
      <c r="B304" s="60"/>
      <c r="C304" s="61"/>
      <c r="D304" s="117" t="s">
        <v>56</v>
      </c>
      <c r="E304" s="121">
        <f t="shared" ref="E304:K305" si="107">SUM(E305)</f>
        <v>35523</v>
      </c>
      <c r="F304" s="121">
        <f t="shared" si="107"/>
        <v>529.56400557435791</v>
      </c>
      <c r="G304" s="121">
        <f t="shared" si="107"/>
        <v>7000</v>
      </c>
      <c r="H304" s="121">
        <f>SUM(H305)</f>
        <v>929.05965890238235</v>
      </c>
      <c r="I304" s="121">
        <f>I306+I313</f>
        <v>3900</v>
      </c>
      <c r="J304" s="121">
        <f t="shared" si="107"/>
        <v>3950</v>
      </c>
      <c r="K304" s="121">
        <f t="shared" si="107"/>
        <v>4000</v>
      </c>
    </row>
    <row r="305" spans="1:11" ht="38.25" x14ac:dyDescent="0.25">
      <c r="A305" s="118">
        <v>42</v>
      </c>
      <c r="B305" s="119"/>
      <c r="C305" s="120"/>
      <c r="D305" s="57" t="s">
        <v>56</v>
      </c>
      <c r="E305" s="122">
        <f>E306+E313</f>
        <v>35523</v>
      </c>
      <c r="F305" s="122">
        <f t="shared" si="107"/>
        <v>529.56400557435791</v>
      </c>
      <c r="G305" s="122">
        <f t="shared" si="107"/>
        <v>7000</v>
      </c>
      <c r="H305" s="122">
        <f t="shared" si="107"/>
        <v>929.05965890238235</v>
      </c>
      <c r="I305" s="122">
        <f>I306+I313</f>
        <v>3900</v>
      </c>
      <c r="J305" s="122">
        <f t="shared" ref="J305:K305" si="108">J306+J313</f>
        <v>3950</v>
      </c>
      <c r="K305" s="122">
        <f t="shared" si="108"/>
        <v>4000</v>
      </c>
    </row>
    <row r="306" spans="1:11" x14ac:dyDescent="0.25">
      <c r="A306" s="52">
        <v>422</v>
      </c>
      <c r="B306" s="53"/>
      <c r="C306" s="54"/>
      <c r="D306" s="55" t="s">
        <v>70</v>
      </c>
      <c r="E306" s="123">
        <f t="shared" ref="E306:K306" si="109">SUM(E307:E312)</f>
        <v>3990</v>
      </c>
      <c r="F306" s="123">
        <f t="shared" si="109"/>
        <v>529.56400557435791</v>
      </c>
      <c r="G306" s="123">
        <f t="shared" si="109"/>
        <v>7000</v>
      </c>
      <c r="H306" s="123">
        <f t="shared" si="109"/>
        <v>929.05965890238235</v>
      </c>
      <c r="I306" s="123">
        <f t="shared" si="109"/>
        <v>0</v>
      </c>
      <c r="J306" s="123">
        <f t="shared" si="109"/>
        <v>0</v>
      </c>
      <c r="K306" s="123">
        <f t="shared" si="109"/>
        <v>0</v>
      </c>
    </row>
    <row r="307" spans="1:11" x14ac:dyDescent="0.25">
      <c r="A307" s="112">
        <v>4221</v>
      </c>
      <c r="B307" s="113"/>
      <c r="C307" s="114"/>
      <c r="D307" s="111" t="s">
        <v>111</v>
      </c>
      <c r="E307" s="124"/>
      <c r="F307" s="124"/>
      <c r="G307" s="124">
        <v>7000</v>
      </c>
      <c r="H307" s="124">
        <f>G307/7.5345</f>
        <v>929.05965890238235</v>
      </c>
      <c r="I307" s="124"/>
      <c r="J307" s="124"/>
      <c r="K307" s="124"/>
    </row>
    <row r="308" spans="1:11" x14ac:dyDescent="0.25">
      <c r="A308" s="112">
        <v>4222</v>
      </c>
      <c r="B308" s="113"/>
      <c r="C308" s="114"/>
      <c r="D308" s="111" t="s">
        <v>112</v>
      </c>
      <c r="E308" s="124"/>
      <c r="F308" s="124"/>
      <c r="G308" s="124"/>
      <c r="H308" s="124"/>
      <c r="I308" s="124"/>
      <c r="J308" s="124"/>
      <c r="K308" s="124"/>
    </row>
    <row r="309" spans="1:11" x14ac:dyDescent="0.25">
      <c r="A309" s="112">
        <v>4223</v>
      </c>
      <c r="B309" s="113"/>
      <c r="C309" s="114"/>
      <c r="D309" s="111" t="s">
        <v>113</v>
      </c>
      <c r="E309" s="124"/>
      <c r="F309" s="124"/>
      <c r="G309" s="124"/>
      <c r="H309" s="124"/>
      <c r="I309" s="124"/>
      <c r="J309" s="124"/>
      <c r="K309" s="124"/>
    </row>
    <row r="310" spans="1:11" x14ac:dyDescent="0.25">
      <c r="A310" s="112">
        <v>4225</v>
      </c>
      <c r="B310" s="113"/>
      <c r="C310" s="114"/>
      <c r="D310" s="111" t="s">
        <v>114</v>
      </c>
      <c r="E310" s="124"/>
      <c r="F310" s="124"/>
      <c r="G310" s="124"/>
      <c r="H310" s="124"/>
      <c r="I310" s="124"/>
      <c r="J310" s="124"/>
      <c r="K310" s="124"/>
    </row>
    <row r="311" spans="1:11" x14ac:dyDescent="0.25">
      <c r="A311" s="112">
        <v>4226</v>
      </c>
      <c r="B311" s="113"/>
      <c r="C311" s="114"/>
      <c r="D311" s="111" t="s">
        <v>115</v>
      </c>
      <c r="E311" s="124">
        <v>3990</v>
      </c>
      <c r="F311" s="124">
        <f>E311/7.5345</f>
        <v>529.56400557435791</v>
      </c>
      <c r="G311" s="124"/>
      <c r="H311" s="124"/>
      <c r="I311" s="124"/>
      <c r="J311" s="124"/>
      <c r="K311" s="124"/>
    </row>
    <row r="312" spans="1:11" ht="25.5" x14ac:dyDescent="0.25">
      <c r="A312" s="112">
        <v>4227</v>
      </c>
      <c r="B312" s="113"/>
      <c r="C312" s="114"/>
      <c r="D312" s="111" t="s">
        <v>116</v>
      </c>
      <c r="E312" s="124"/>
      <c r="F312" s="124"/>
      <c r="G312" s="124"/>
      <c r="H312" s="124"/>
      <c r="I312" s="124"/>
      <c r="J312" s="124"/>
      <c r="K312" s="124"/>
    </row>
    <row r="313" spans="1:11" ht="25.5" x14ac:dyDescent="0.25">
      <c r="A313" s="52">
        <v>424</v>
      </c>
      <c r="B313" s="53"/>
      <c r="C313" s="54"/>
      <c r="D313" s="55" t="s">
        <v>71</v>
      </c>
      <c r="E313" s="123">
        <f t="shared" ref="E313:K313" si="110">SUM(E314)</f>
        <v>31533</v>
      </c>
      <c r="F313" s="123">
        <f t="shared" si="110"/>
        <v>4185.1483177384034</v>
      </c>
      <c r="G313" s="123">
        <f t="shared" si="110"/>
        <v>0</v>
      </c>
      <c r="H313" s="123">
        <f t="shared" si="110"/>
        <v>0</v>
      </c>
      <c r="I313" s="123">
        <f t="shared" si="110"/>
        <v>3900</v>
      </c>
      <c r="J313" s="123">
        <f t="shared" si="110"/>
        <v>3950</v>
      </c>
      <c r="K313" s="123">
        <f t="shared" si="110"/>
        <v>4000</v>
      </c>
    </row>
    <row r="314" spans="1:11" x14ac:dyDescent="0.25">
      <c r="A314" s="112">
        <v>4241</v>
      </c>
      <c r="B314" s="113"/>
      <c r="C314" s="114"/>
      <c r="D314" s="111" t="s">
        <v>117</v>
      </c>
      <c r="E314" s="124">
        <v>31533</v>
      </c>
      <c r="F314" s="124">
        <f>E314/7.5345</f>
        <v>4185.1483177384034</v>
      </c>
      <c r="G314" s="124"/>
      <c r="H314" s="124"/>
      <c r="I314" s="124">
        <v>3900</v>
      </c>
      <c r="J314" s="124">
        <v>3950</v>
      </c>
      <c r="K314" s="124">
        <v>4000</v>
      </c>
    </row>
    <row r="315" spans="1:11" x14ac:dyDescent="0.25">
      <c r="A315" s="112"/>
      <c r="B315" s="113"/>
      <c r="C315" s="114"/>
      <c r="D315" s="111"/>
      <c r="E315" s="124"/>
      <c r="F315" s="124"/>
      <c r="G315" s="124"/>
      <c r="H315" s="124"/>
      <c r="I315" s="124"/>
      <c r="J315" s="124"/>
      <c r="K315" s="124"/>
    </row>
    <row r="316" spans="1:11" x14ac:dyDescent="0.25">
      <c r="A316" s="112"/>
      <c r="B316" s="113"/>
      <c r="C316" s="114"/>
      <c r="D316" s="63" t="s">
        <v>118</v>
      </c>
      <c r="E316" s="125">
        <f t="shared" ref="E316:K316" si="111">SUM(E252+E304)</f>
        <v>3586802.59</v>
      </c>
      <c r="F316" s="125">
        <f t="shared" si="111"/>
        <v>472924.49266706483</v>
      </c>
      <c r="G316" s="125">
        <f t="shared" si="111"/>
        <v>3507000</v>
      </c>
      <c r="H316" s="125">
        <f t="shared" si="111"/>
        <v>467317.00842789834</v>
      </c>
      <c r="I316" s="125">
        <f t="shared" si="111"/>
        <v>502800</v>
      </c>
      <c r="J316" s="125">
        <f t="shared" si="111"/>
        <v>508900</v>
      </c>
      <c r="K316" s="125">
        <f t="shared" si="111"/>
        <v>515300</v>
      </c>
    </row>
    <row r="317" spans="1:11" x14ac:dyDescent="0.25">
      <c r="A317" s="112"/>
      <c r="B317" s="113"/>
      <c r="C317" s="114"/>
      <c r="D317" s="111"/>
      <c r="E317" s="10"/>
      <c r="F317" s="10"/>
      <c r="G317" s="10"/>
      <c r="H317" s="10"/>
      <c r="I317" s="10"/>
      <c r="J317" s="10"/>
      <c r="K317" s="10"/>
    </row>
  </sheetData>
  <mergeCells count="43">
    <mergeCell ref="A131:C131"/>
    <mergeCell ref="A202:C202"/>
    <mergeCell ref="A248:C248"/>
    <mergeCell ref="A263:C263"/>
    <mergeCell ref="A249:C249"/>
    <mergeCell ref="A250:C250"/>
    <mergeCell ref="A251:C251"/>
    <mergeCell ref="A252:C252"/>
    <mergeCell ref="A253:C253"/>
    <mergeCell ref="A217:C217"/>
    <mergeCell ref="A146:C146"/>
    <mergeCell ref="A132:C132"/>
    <mergeCell ref="A133:C133"/>
    <mergeCell ref="A134:C134"/>
    <mergeCell ref="A135:C135"/>
    <mergeCell ref="A136:C136"/>
    <mergeCell ref="A60:C60"/>
    <mergeCell ref="A75:C75"/>
    <mergeCell ref="A61:C61"/>
    <mergeCell ref="A62:C62"/>
    <mergeCell ref="A63:C63"/>
    <mergeCell ref="A64:C64"/>
    <mergeCell ref="A65:C65"/>
    <mergeCell ref="A203:C203"/>
    <mergeCell ref="A204:C204"/>
    <mergeCell ref="A205:C205"/>
    <mergeCell ref="A206:C206"/>
    <mergeCell ref="A207:C207"/>
    <mergeCell ref="A20:C20"/>
    <mergeCell ref="A10:C10"/>
    <mergeCell ref="A28:C28"/>
    <mergeCell ref="A33:C33"/>
    <mergeCell ref="A29:C29"/>
    <mergeCell ref="A30:C30"/>
    <mergeCell ref="A31:C31"/>
    <mergeCell ref="A32:C32"/>
    <mergeCell ref="A1:K1"/>
    <mergeCell ref="A3:K3"/>
    <mergeCell ref="A5:C5"/>
    <mergeCell ref="A8:C8"/>
    <mergeCell ref="A9:C9"/>
    <mergeCell ref="A6:C6"/>
    <mergeCell ref="A7:C7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 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OŠ Vratišinec - tajnica</cp:lastModifiedBy>
  <cp:lastPrinted>2022-10-26T07:38:46Z</cp:lastPrinted>
  <dcterms:created xsi:type="dcterms:W3CDTF">2022-08-12T12:51:27Z</dcterms:created>
  <dcterms:modified xsi:type="dcterms:W3CDTF">2023-02-03T07:35:50Z</dcterms:modified>
</cp:coreProperties>
</file>